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G:\Compliance\Conflict Minerals CMRT\"/>
    </mc:Choice>
  </mc:AlternateContent>
  <xr:revisionPtr revIDLastSave="0" documentId="13_ncr:1_{64B882A2-F167-4AF7-8DA3-77055E2F742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J6" i="5"/>
  <c r="T6" i="5"/>
  <c r="V7" i="5"/>
  <c r="J7" i="5"/>
  <c r="T7" i="5"/>
  <c r="V8" i="5"/>
  <c r="J8" i="5"/>
  <c r="T8" i="5"/>
  <c r="V9" i="5"/>
  <c r="J9" i="5"/>
  <c r="T9" i="5"/>
  <c r="V10" i="5"/>
  <c r="J10" i="5"/>
  <c r="S10" i="5"/>
  <c r="T10" i="5"/>
  <c r="V11" i="5"/>
  <c r="J11" i="5"/>
  <c r="S11" i="5"/>
  <c r="T11" i="5"/>
  <c r="V12" i="5"/>
  <c r="J12" i="5"/>
  <c r="S12" i="5"/>
  <c r="T12" i="5"/>
  <c r="V13" i="5"/>
  <c r="J13" i="5"/>
  <c r="T13" i="5"/>
  <c r="V14" i="5"/>
  <c r="J14" i="5"/>
  <c r="S14" i="5"/>
  <c r="T14" i="5"/>
  <c r="V15" i="5"/>
  <c r="J15" i="5"/>
  <c r="T15" i="5"/>
  <c r="V16" i="5"/>
  <c r="J16" i="5"/>
  <c r="T16" i="5"/>
  <c r="V17" i="5"/>
  <c r="J17" i="5"/>
  <c r="T17" i="5"/>
  <c r="V18" i="5"/>
  <c r="J18" i="5"/>
  <c r="S18" i="5"/>
  <c r="T18" i="5"/>
  <c r="V19" i="5"/>
  <c r="J19" i="5"/>
  <c r="T19" i="5"/>
  <c r="V20" i="5"/>
  <c r="J20" i="5"/>
  <c r="S20" i="5"/>
  <c r="T20" i="5"/>
  <c r="V21" i="5"/>
  <c r="J21" i="5"/>
  <c r="S21" i="5"/>
  <c r="T21" i="5"/>
  <c r="V22" i="5"/>
  <c r="J22" i="5"/>
  <c r="S22" i="5"/>
  <c r="T22" i="5"/>
  <c r="V23" i="5"/>
  <c r="J23" i="5"/>
  <c r="S23" i="5"/>
  <c r="T23" i="5"/>
  <c r="V24" i="5"/>
  <c r="J24" i="5"/>
  <c r="S24" i="5"/>
  <c r="T24" i="5"/>
  <c r="V25" i="5"/>
  <c r="S25" i="5"/>
  <c r="T25" i="5"/>
  <c r="V26" i="5"/>
  <c r="S26" i="5"/>
  <c r="T26" i="5"/>
  <c r="V27" i="5"/>
  <c r="J27" i="5"/>
  <c r="S27"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5" i="5"/>
  <c r="S16" i="5"/>
  <c r="S17" i="5"/>
  <c r="S19"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F6" i="5"/>
  <c r="AB6" i="5"/>
  <c r="AB7" i="5"/>
  <c r="AB8" i="5"/>
  <c r="AB9" i="5"/>
  <c r="F9" i="5"/>
  <c r="G9" i="5"/>
  <c r="G10" i="5"/>
  <c r="AB10" i="5"/>
  <c r="AB11" i="5"/>
  <c r="G11" i="5"/>
  <c r="AB12" i="5"/>
  <c r="G12" i="5"/>
  <c r="AB13" i="5"/>
  <c r="AB14" i="5"/>
  <c r="AB15" i="5"/>
  <c r="AB16" i="5"/>
  <c r="AB17" i="5"/>
  <c r="AB18" i="5"/>
  <c r="AB19" i="5"/>
  <c r="AB20" i="5"/>
  <c r="G20" i="5"/>
  <c r="AB21" i="5"/>
  <c r="AB22" i="5"/>
  <c r="AB23" i="5"/>
  <c r="AB24" i="5"/>
  <c r="G24" i="5"/>
  <c r="AB25" i="5"/>
  <c r="AB26" i="5"/>
  <c r="AB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X13" i="5"/>
  <c r="G13" i="5"/>
  <c r="R13" i="5"/>
  <c r="H13" i="5"/>
  <c r="I13" i="5"/>
  <c r="X14" i="5"/>
  <c r="G14" i="5"/>
  <c r="R14" i="5"/>
  <c r="I14" i="5"/>
  <c r="X15" i="5"/>
  <c r="H15" i="5"/>
  <c r="I15" i="5"/>
  <c r="G15" i="5"/>
  <c r="R15" i="5"/>
  <c r="X17" i="5"/>
  <c r="G17" i="5"/>
  <c r="I17" i="5"/>
  <c r="X19" i="5"/>
  <c r="G19" i="5"/>
  <c r="R19" i="5"/>
  <c r="H19" i="5"/>
  <c r="X21" i="5"/>
  <c r="G21" i="5"/>
  <c r="I21" i="5"/>
  <c r="H21" i="5"/>
  <c r="R21" i="5"/>
  <c r="X24" i="5"/>
  <c r="I24" i="5"/>
  <c r="X25" i="5"/>
  <c r="G25" i="5"/>
  <c r="R25" i="5"/>
  <c r="X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F7"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I22" i="5"/>
  <c r="H22" i="5"/>
  <c r="R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I12" i="5"/>
  <c r="I11" i="5"/>
  <c r="H11" i="5"/>
  <c r="I9" i="5"/>
  <c r="H9" i="5"/>
  <c r="AB1374" i="5"/>
  <c r="AD1374" i="5"/>
  <c r="X10" i="5"/>
  <c r="R10" i="5"/>
  <c r="H6" i="5"/>
  <c r="I8" i="5"/>
  <c r="I6" i="5"/>
  <c r="AB1073" i="5"/>
  <c r="AD1073" i="5"/>
  <c r="AB1102" i="5"/>
  <c r="AD1102" i="5"/>
  <c r="AB1494" i="5"/>
  <c r="AD1494" i="5"/>
  <c r="AB1806" i="5"/>
  <c r="AD1806" i="5"/>
  <c r="AB2110" i="5"/>
  <c r="AD2110" i="5"/>
  <c r="X12" i="5"/>
  <c r="R12" i="5"/>
  <c r="X11" i="5"/>
  <c r="R11" i="5"/>
  <c r="E8" i="5"/>
  <c r="X8" i="5"/>
  <c r="R8" i="5"/>
  <c r="H7" i="5"/>
  <c r="I7" i="5"/>
  <c r="E6" i="5"/>
  <c r="X6" i="5"/>
  <c r="R6" i="5"/>
  <c r="AB1478" i="5"/>
  <c r="AD1478" i="5"/>
  <c r="AB1505" i="5"/>
  <c r="AD1505" i="5"/>
  <c r="AB1518" i="5"/>
  <c r="AD1518" i="5"/>
  <c r="AB1734" i="5"/>
  <c r="AD1734" i="5"/>
  <c r="AB1870" i="5"/>
  <c r="AD1870" i="5"/>
  <c r="E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AC11" i="5"/>
  <c r="AC12" i="5"/>
  <c r="X23" i="5"/>
  <c r="H23" i="5"/>
  <c r="R23" i="5"/>
  <c r="I23" i="5"/>
  <c r="G23" i="5"/>
  <c r="X26" i="5"/>
  <c r="R26" i="5"/>
  <c r="F42" i="5"/>
  <c r="H42" i="5"/>
  <c r="R42" i="5"/>
  <c r="I42" i="5"/>
  <c r="X42" i="5"/>
  <c r="D101" i="4"/>
  <c r="D89" i="4"/>
  <c r="D77" i="4"/>
  <c r="D65" i="4"/>
  <c r="D53" i="4"/>
  <c r="D41" i="4"/>
  <c r="D114" i="4"/>
  <c r="F5" i="5"/>
  <c r="H5" i="5"/>
  <c r="I5" i="5"/>
  <c r="R5" i="5"/>
  <c r="H12" i="5"/>
  <c r="H14" i="5"/>
  <c r="I16" i="5"/>
  <c r="H16" i="5"/>
  <c r="G16" i="5"/>
  <c r="R16" i="5"/>
  <c r="X16" i="5"/>
  <c r="H17" i="5"/>
  <c r="R17" i="5"/>
  <c r="R18" i="5"/>
  <c r="H18" i="5"/>
  <c r="I18" i="5"/>
  <c r="G18" i="5"/>
  <c r="X18" i="5"/>
  <c r="I19" i="5"/>
  <c r="R20" i="5"/>
  <c r="H20" i="5"/>
  <c r="I20" i="5"/>
  <c r="X20" i="5"/>
  <c r="H24" i="5"/>
  <c r="R24"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G22" i="5"/>
  <c r="X5" i="5"/>
  <c r="S5" i="5"/>
  <c r="V47" i="4"/>
  <c r="W47" i="4"/>
  <c r="U46" i="4"/>
  <c r="V46" i="4"/>
  <c r="U45" i="4"/>
  <c r="AB51" i="4"/>
  <c r="AC51" i="4"/>
  <c r="AA50" i="4"/>
  <c r="AB50" i="4"/>
  <c r="Z49" i="4"/>
  <c r="AA49" i="4"/>
  <c r="Y48" i="4"/>
  <c r="Z48" i="4"/>
  <c r="X47" i="4"/>
  <c r="Y47" i="4"/>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114" i="6"/>
  <c r="D114" i="6"/>
  <c r="D116" i="6"/>
  <c r="C116" i="6"/>
  <c r="C115" i="6"/>
  <c r="D115" i="6"/>
  <c r="H124" i="6"/>
  <c r="X50" i="5"/>
  <c r="X45" i="4"/>
  <c r="Y45" i="4"/>
  <c r="W44" i="4"/>
  <c r="X44" i="4"/>
  <c r="W43" i="4"/>
  <c r="AC48" i="4"/>
  <c r="AB47" i="4"/>
  <c r="AC47" i="4"/>
  <c r="AA46" i="4"/>
  <c r="AB46" i="4"/>
  <c r="D124" i="6"/>
  <c r="X43" i="4"/>
  <c r="Y44" i="4"/>
  <c r="Z44"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<sst xmlns="http://schemas.openxmlformats.org/spreadsheetml/2006/main" count="29697" uniqueCount="20473">
  <si>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</si>
  <si>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</si>
  <si>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</si>
  <si>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</si>
  <si>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</si>
  <si>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</si>
  <si>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</si>
  <si>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</si>
  <si>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</si>
  <si>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</si>
  <si>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</si>
  <si>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</si>
  <si>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</si>
  <si>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</si>
  <si>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</si>
  <si>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</si>
  <si>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</si>
  <si>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</si>
  <si>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</si>
  <si>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</si>
  <si>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</si>
  <si>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</si>
  <si>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</si>
  <si>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</si>
  <si>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</si>
  <si>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</si>
  <si>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</si>
  <si>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</si>
  <si>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</si>
  <si>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</si>
  <si>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</si>
  <si>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</si>
  <si>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</si>
  <si>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</si>
  <si>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</si>
  <si>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</si>
  <si>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</si>
  <si>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</si>
  <si>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</si>
  <si>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</si>
  <si>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</si>
  <si>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</si>
  <si>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</si>
  <si>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</si>
  <si>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</si>
  <si>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</si>
  <si>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</si>
  <si>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</si>
  <si>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</si>
  <si>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</si>
  <si>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</si>
  <si>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</si>
  <si>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</si>
  <si>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</si>
  <si>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</si>
  <si>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</si>
  <si>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</si>
  <si>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</si>
  <si>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</si>
  <si>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</si>
  <si>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</si>
  <si>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</si>
  <si>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</si>
  <si>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</si>
  <si>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</si>
  <si>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</si>
  <si>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</si>
  <si>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</si>
  <si>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</si>
  <si>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</si>
  <si>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</si>
  <si>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</si>
  <si>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</si>
  <si>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</si>
  <si>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</si>
  <si>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</si>
  <si>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</si>
  <si>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</si>
  <si>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</si>
  <si>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</si>
  <si>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</si>
  <si>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</si>
  <si>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</si>
  <si>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</si>
  <si>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</si>
  <si>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</si>
  <si>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</si>
  <si>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</si>
  <si>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</si>
  <si>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</si>
  <si>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</si>
  <si>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</si>
  <si>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</si>
  <si>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</si>
  <si>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</si>
  <si>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</si>
  <si>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</si>
  <si>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</si>
  <si>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</si>
  <si>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</si>
  <si>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</si>
  <si>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</si>
  <si>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</si>
  <si>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</si>
  <si>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</si>
  <si>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</si>
  <si>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</si>
  <si>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</si>
  <si>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</si>
  <si>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</si>
  <si>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</si>
  <si>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</si>
  <si>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</si>
  <si>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</si>
  <si>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</si>
  <si>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</si>
  <si>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</si>
  <si>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</si>
  <si>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</si>
  <si>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</si>
  <si>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</si>
  <si>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</si>
  <si>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</si>
  <si>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</si>
  <si>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</si>
  <si>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</si>
  <si>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</si>
  <si>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</si>
  <si>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</si>
  <si>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</si>
  <si>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</si>
  <si>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</si>
  <si>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</si>
  <si>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</si>
  <si>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</si>
  <si>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</si>
  <si>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</si>
  <si>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</si>
  <si>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</si>
  <si>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</si>
  <si>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</si>
  <si>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</si>
  <si>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</si>
  <si>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</si>
  <si>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</si>
  <si>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</si>
  <si>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</si>
  <si>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</si>
  <si>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</si>
  <si>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</si>
  <si>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</si>
  <si>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</si>
  <si>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</si>
  <si>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</si>
  <si>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</si>
  <si>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</si>
  <si>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</si>
  <si>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</si>
  <si>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</si>
  <si>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</si>
  <si>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</si>
  <si>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</si>
  <si>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</si>
  <si>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</si>
  <si>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</si>
  <si>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</si>
  <si>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</si>
  <si>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</si>
  <si>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</si>
  <si>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</si>
  <si>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</si>
  <si>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</si>
  <si>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</si>
  <si>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</si>
  <si>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</si>
  <si>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</si>
  <si>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</si>
  <si>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</si>
  <si>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</si>
  <si>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</si>
  <si>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</si>
  <si>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</si>
  <si>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</si>
  <si>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</si>
  <si>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</si>
  <si>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</si>
  <si>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</si>
  <si>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</si>
  <si>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</si>
  <si>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</si>
  <si>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</si>
  <si>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</si>
  <si>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</si>
  <si>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</si>
  <si>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</si>
  <si>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</si>
  <si>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</si>
  <si>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</si>
  <si>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</si>
  <si>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</si>
  <si>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</si>
  <si>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</si>
  <si>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</si>
  <si>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</si>
  <si>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</si>
  <si>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</si>
  <si>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</si>
  <si>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</si>
  <si>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</si>
  <si>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</si>
  <si>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</si>
  <si>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</si>
  <si>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</si>
  <si>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</si>
  <si>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</si>
  <si>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</si>
  <si>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</si>
  <si>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</si>
  <si>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</si>
  <si>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</si>
  <si>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</si>
  <si>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</si>
  <si>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</si>
  <si>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</si>
  <si>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</si>
  <si>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</si>
  <si>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</si>
  <si>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</si>
  <si>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</si>
  <si>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</si>
  <si>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</si>
  <si>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</si>
  <si>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</si>
  <si>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</si>
  <si>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</si>
  <si>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</si>
  <si>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</si>
  <si>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</si>
  <si>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</si>
  <si>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</si>
  <si>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</si>
  <si>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</si>
  <si>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</si>
  <si>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</si>
  <si>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</si>
  <si>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</si>
  <si>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</si>
  <si>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</si>
  <si>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</si>
  <si>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</si>
  <si>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</si>
  <si>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</si>
  <si>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</si>
  <si>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</si>
  <si>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</si>
  <si>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</si>
  <si>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</si>
  <si>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</si>
  <si>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</si>
  <si>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</si>
  <si>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</si>
  <si>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</si>
  <si>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</si>
  <si>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</si>
  <si>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</si>
  <si>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</si>
  <si>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</si>
  <si>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</si>
  <si>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</si>
  <si>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</si>
  <si>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</si>
  <si>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</si>
  <si>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</si>
  <si>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</si>
  <si>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</si>
  <si>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</si>
  <si>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</si>
  <si>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</si>
  <si>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</si>
  <si>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</si>
  <si>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</si>
  <si>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</si>
  <si>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</si>
  <si>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</si>
  <si>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</si>
  <si>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</si>
  <si>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</si>
  <si>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</si>
  <si>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</si>
  <si>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</si>
  <si>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</si>
  <si>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</si>
  <si>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</si>
  <si>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</si>
  <si>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</si>
  <si>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</si>
  <si>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</si>
  <si>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</si>
  <si>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</si>
  <si>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</si>
  <si>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</si>
  <si>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</si>
  <si>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</si>
  <si>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</si>
  <si>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</si>
  <si>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</si>
  <si>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</si>
  <si>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</si>
  <si>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</si>
  <si>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</si>
  <si>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</si>
  <si>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</si>
  <si>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</si>
  <si>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</si>
  <si>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</si>
  <si>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</si>
  <si>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</si>
  <si>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</si>
  <si>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</si>
  <si>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</si>
  <si>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</si>
  <si>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</si>
  <si>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</si>
  <si>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</si>
  <si>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</si>
  <si>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</si>
  <si>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</si>
  <si>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</si>
  <si>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</si>
  <si>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</si>
  <si>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</si>
  <si>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</si>
  <si>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</si>
  <si>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</si>
  <si>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</si>
  <si>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</si>
  <si>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</si>
  <si>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</si>
  <si>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</si>
  <si>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</si>
  <si>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</si>
  <si>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</si>
  <si>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</si>
  <si>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</si>
  <si>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</si>
  <si>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</si>
  <si>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</si>
  <si>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</si>
  <si>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</si>
  <si>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</si>
  <si>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</si>
  <si>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</si>
  <si>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</si>
  <si>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</si>
  <si>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</si>
  <si>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</si>
  <si>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</si>
  <si>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</si>
  <si>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</si>
  <si>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</si>
  <si>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</si>
  <si>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</si>
  <si>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</si>
  <si>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</si>
  <si>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</si>
  <si>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</si>
  <si>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</si>
  <si>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</si>
  <si>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</si>
  <si>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</si>
  <si>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</si>
  <si>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</si>
  <si>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</si>
  <si>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</si>
  <si>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</si>
  <si>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</si>
  <si>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</si>
  <si>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</si>
  <si>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</si>
  <si>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</si>
  <si>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</si>
  <si>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</si>
  <si>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</si>
  <si>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</si>
  <si>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</si>
  <si>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</si>
  <si>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</si>
  <si>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</si>
  <si>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</si>
  <si>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</si>
  <si>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</si>
  <si>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</si>
  <si>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</si>
  <si>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</si>
  <si>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</si>
  <si>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</si>
  <si>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</si>
  <si>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</si>
  <si>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</si>
  <si>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</si>
  <si>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</si>
  <si>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</si>
  <si>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</si>
  <si>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</si>
  <si>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</si>
  <si>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</si>
  <si>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</si>
  <si>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</si>
  <si>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</si>
  <si>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</si>
  <si>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</si>
  <si>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</si>
  <si>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</si>
  <si>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</si>
  <si>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</si>
  <si>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</si>
  <si>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</si>
  <si>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</si>
  <si>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</si>
  <si>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</si>
  <si>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</si>
  <si>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</si>
  <si>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</si>
  <si>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</si>
  <si>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</si>
  <si>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</si>
  <si>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</si>
  <si>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</si>
  <si>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</si>
  <si>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</si>
  <si>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</si>
  <si>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</si>
  <si>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</si>
  <si>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</si>
  <si>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</si>
  <si>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</si>
  <si>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</si>
  <si>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</si>
  <si>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</si>
  <si>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</si>
  <si>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</si>
  <si>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</si>
  <si>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</si>
  <si>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</si>
  <si>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</si>
  <si>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</si>
  <si>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</si>
  <si>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</si>
  <si>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</si>
  <si>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</si>
  <si>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</si>
  <si>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</si>
  <si>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</si>
  <si>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</si>
  <si>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</si>
  <si>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</si>
  <si>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</si>
  <si>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</si>
  <si>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</si>
  <si>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</si>
  <si>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</si>
  <si>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</si>
  <si>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</si>
  <si>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</si>
  <si>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</si>
  <si>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</si>
  <si>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</si>
  <si>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</si>
  <si>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</si>
  <si>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</si>
  <si>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</si>
  <si>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</si>
  <si>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</si>
  <si>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</si>
  <si>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</si>
  <si>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</si>
  <si>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</si>
  <si>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</si>
  <si>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</si>
  <si>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</si>
  <si>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</si>
  <si>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</si>
  <si>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</si>
  <si>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</si>
  <si>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</si>
  <si>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</si>
  <si>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</si>
  <si>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</si>
  <si>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</si>
  <si>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</si>
  <si>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</si>
  <si>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</si>
  <si>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</si>
  <si>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</si>
  <si>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</si>
  <si>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</si>
  <si>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</si>
  <si>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</si>
  <si>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</si>
  <si>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</si>
  <si>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</si>
  <si>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</si>
  <si>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</si>
  <si>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</si>
  <si>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</si>
  <si>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</si>
  <si>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</si>
  <si>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</si>
  <si>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</si>
  <si>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</si>
  <si>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</si>
  <si>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</si>
  <si>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</si>
  <si>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</si>
  <si>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</si>
  <si>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</si>
  <si>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</si>
  <si>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</si>
  <si>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</si>
  <si>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</si>
  <si>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</si>
  <si>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</si>
  <si>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</si>
  <si>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</si>
  <si>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</si>
  <si>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</si>
  <si>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</si>
  <si>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</si>
  <si>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</si>
  <si>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</si>
  <si>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</si>
  <si>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</si>
  <si>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</si>
  <si>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</si>
  <si>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</si>
  <si>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</si>
  <si>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</si>
  <si>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</si>
  <si>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</si>
  <si>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</si>
  <si>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</si>
  <si>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</si>
  <si>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</si>
  <si>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</si>
  <si>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</si>
  <si>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</si>
  <si>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</si>
  <si>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</si>
  <si>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</si>
  <si>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</si>
  <si>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</si>
  <si>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</si>
  <si>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</si>
  <si>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</si>
  <si>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</si>
  <si>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</si>
  <si>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</si>
  <si>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</si>
  <si>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</si>
  <si>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</si>
  <si>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</si>
  <si>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</si>
  <si>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</si>
  <si>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</si>
  <si>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</si>
  <si>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</si>
  <si>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</si>
  <si>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</si>
  <si>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</si>
  <si>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</si>
  <si>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</si>
  <si>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</si>
  <si>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</si>
  <si>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</si>
  <si>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</si>
  <si>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</si>
  <si>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</si>
  <si>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</si>
  <si>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</si>
  <si>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</si>
  <si>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</si>
  <si>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</si>
  <si>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</si>
  <si>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</si>
  <si>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</si>
  <si>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</si>
  <si>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</si>
  <si>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</si>
  <si>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</si>
  <si>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</si>
  <si>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</si>
  <si>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</si>
  <si>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</si>
  <si>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</si>
  <si>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</si>
  <si>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</si>
  <si>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</si>
  <si>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</si>
  <si>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</si>
  <si>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</si>
  <si>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</si>
  <si>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</si>
  <si>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</si>
  <si>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</si>
  <si>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</si>
  <si>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</si>
  <si>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</si>
  <si>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</si>
  <si>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</si>
  <si>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</si>
  <si>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</si>
  <si>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</si>
  <si>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</si>
  <si>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</si>
  <si>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</si>
  <si>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</si>
  <si>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</si>
  <si>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</si>
  <si>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</si>
  <si>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</si>
  <si>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</si>
  <si>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</si>
  <si>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</si>
  <si>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</si>
  <si>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</si>
  <si>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</si>
  <si>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</si>
  <si>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</si>
  <si>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</si>
  <si>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</si>
  <si>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</si>
  <si>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</si>
  <si>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</si>
  <si>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</si>
  <si>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</si>
  <si>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</si>
  <si>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</si>
  <si>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</si>
  <si>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</si>
  <si>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</si>
  <si>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</si>
  <si>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</si>
  <si>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</si>
  <si>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</si>
  <si>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</si>
  <si>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</si>
  <si>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</si>
  <si>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</si>
  <si>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</si>
  <si>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</si>
  <si>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</si>
  <si>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</si>
  <si>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</si>
  <si>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</si>
  <si>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</si>
  <si>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</si>
  <si>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</si>
  <si>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</si>
  <si>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</si>
  <si>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</si>
  <si>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</si>
  <si>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</si>
  <si>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</si>
  <si>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</si>
  <si>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</si>
  <si>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</si>
  <si>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</si>
  <si>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</si>
  <si>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</si>
  <si>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</si>
  <si>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</si>
  <si>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</si>
  <si>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</si>
  <si>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</si>
  <si>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</si>
  <si>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</si>
  <si>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</si>
  <si>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</si>
  <si>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</si>
  <si>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</si>
  <si>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</si>
  <si>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</si>
  <si>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</si>
  <si>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</si>
  <si>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</si>
  <si>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</si>
  <si>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</si>
  <si>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</si>
  <si>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</si>
  <si>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</si>
  <si>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</si>
  <si>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</si>
  <si>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</si>
  <si>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</si>
  <si>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</si>
  <si>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</si>
  <si>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</si>
  <si>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</si>
  <si>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</si>
  <si>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</si>
  <si>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</si>
  <si>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</si>
  <si>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</si>
  <si>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</si>
  <si>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</si>
  <si>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</si>
  <si>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</si>
  <si>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</si>
  <si>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</si>
  <si>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</si>
  <si>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</si>
  <si>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</si>
  <si>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</si>
  <si>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</si>
  <si>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</si>
  <si>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</si>
  <si>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</si>
  <si>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</si>
  <si>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</si>
  <si>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</si>
  <si>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</si>
  <si>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</si>
  <si>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</si>
  <si>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</si>
  <si>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</si>
  <si>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</si>
  <si>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</si>
  <si>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</si>
  <si>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</si>
  <si>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</si>
  <si>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</si>
  <si>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</si>
  <si>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</si>
  <si>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</si>
  <si>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</si>
  <si>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</si>
  <si>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</si>
  <si>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</si>
  <si>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</si>
  <si>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</si>
  <si>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</si>
  <si>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</si>
  <si>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</si>
  <si>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</si>
  <si>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</si>
  <si>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</si>
  <si>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</si>
  <si>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</si>
  <si>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</si>
  <si>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</si>
  <si>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</si>
  <si>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</si>
  <si>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</si>
  <si>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</si>
  <si>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</si>
  <si>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</si>
  <si>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</si>
  <si>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</si>
  <si>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</si>
  <si>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</si>
  <si>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</si>
  <si>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</si>
  <si>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</si>
  <si>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</si>
  <si>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</si>
  <si>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</si>
  <si>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</si>
  <si>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</si>
  <si>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</si>
  <si>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</si>
  <si>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</si>
  <si>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</si>
  <si>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</si>
  <si>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</si>
  <si>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</si>
  <si>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</si>
  <si>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</si>
  <si>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</si>
  <si>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</si>
  <si>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</si>
  <si>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</si>
  <si>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</si>
  <si>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</si>
  <si>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</si>
  <si>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</si>
  <si>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</si>
  <si>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</si>
  <si>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</si>
  <si>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</si>
  <si>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</si>
  <si>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</si>
  <si>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</si>
  <si>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</si>
  <si>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</si>
  <si>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</si>
  <si>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</si>
  <si>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</si>
  <si>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</si>
  <si>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</si>
  <si>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</si>
  <si>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</si>
  <si>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</si>
  <si>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</si>
  <si>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</si>
  <si>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</si>
  <si>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</si>
  <si>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</si>
  <si>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</si>
  <si>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</si>
  <si>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</si>
  <si>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</si>
  <si>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</si>
  <si>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</si>
  <si>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</si>
  <si>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</si>
  <si>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</si>
  <si>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</si>
  <si>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</si>
  <si>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</si>
  <si>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</si>
  <si>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</si>
  <si>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</si>
  <si>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</si>
  <si>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</si>
  <si>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</si>
  <si>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</si>
  <si>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</si>
  <si>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</si>
  <si>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</si>
  <si>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</si>
  <si>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</si>
  <si>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</si>
  <si>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</si>
  <si>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</si>
  <si>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</si>
  <si>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</si>
  <si>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</si>
  <si>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</si>
  <si>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</si>
  <si>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</si>
  <si>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</si>
  <si>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</si>
  <si>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</si>
  <si>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</si>
  <si>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</si>
  <si>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</si>
  <si>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</si>
  <si>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</si>
  <si>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</si>
  <si>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</si>
  <si>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</si>
  <si>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</si>
  <si>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</si>
  <si>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</si>
  <si>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</si>
  <si>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</si>
  <si>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</si>
  <si>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</si>
  <si>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</si>
  <si>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</si>
  <si>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</si>
  <si>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</si>
  <si>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</si>
  <si>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</si>
  <si>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</si>
  <si>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</si>
  <si>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</si>
  <si>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</si>
  <si>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</si>
  <si>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</si>
  <si>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</si>
  <si>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</si>
  <si>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</si>
  <si>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</si>
  <si>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</si>
  <si>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</si>
  <si>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</si>
  <si>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</si>
  <si>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</si>
  <si>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</si>
  <si>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</si>
  <si>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</si>
  <si>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</si>
  <si>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</si>
  <si>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</si>
  <si>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</si>
  <si>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</si>
  <si>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</si>
  <si>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</si>
  <si>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</si>
  <si>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</si>
  <si>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</si>
  <si>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</si>
  <si>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</si>
  <si>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</si>
  <si>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</si>
  <si>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</si>
  <si>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</si>
  <si>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</si>
  <si>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</si>
  <si>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</si>
  <si>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</si>
  <si>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</si>
  <si>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</si>
  <si>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</si>
  <si>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</si>
  <si>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</si>
  <si>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</si>
  <si>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</si>
  <si>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</si>
  <si>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</si>
  <si>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</si>
  <si>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</si>
  <si>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</si>
  <si>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</si>
  <si>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</si>
  <si>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</si>
  <si>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</si>
  <si>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</si>
  <si>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</si>
  <si>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</si>
  <si>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</si>
  <si>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</si>
  <si>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</si>
  <si>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</si>
  <si>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</si>
  <si>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</si>
  <si>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</si>
  <si>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</si>
  <si>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</si>
  <si>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</si>
  <si>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</si>
  <si>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</si>
  <si>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</si>
  <si>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</si>
  <si>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</si>
  <si>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</si>
  <si>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</si>
  <si>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</si>
  <si>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</si>
  <si>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</si>
  <si>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</si>
  <si>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</si>
  <si>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</si>
  <si>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</si>
  <si>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</si>
  <si>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</si>
  <si>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</si>
  <si>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</si>
  <si>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</si>
  <si>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</si>
  <si>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</si>
  <si>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</si>
  <si>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</si>
  <si>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</si>
  <si>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</si>
  <si>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</si>
  <si>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</si>
  <si>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</si>
  <si>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</si>
  <si>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</si>
  <si>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</si>
  <si>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</si>
  <si>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</si>
  <si>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</si>
  <si>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</si>
  <si>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</si>
  <si>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</si>
  <si>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</si>
  <si>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</si>
  <si>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</si>
  <si>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</si>
  <si>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</si>
  <si>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</si>
  <si>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</si>
  <si>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</si>
  <si>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</si>
  <si>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</si>
  <si>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</si>
  <si>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</si>
  <si>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</si>
  <si>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</si>
  <si>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</si>
  <si>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</si>
  <si>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</si>
  <si>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</si>
  <si>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</si>
  <si>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</si>
  <si>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</si>
  <si>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</si>
  <si>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</si>
  <si>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</si>
  <si>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</si>
  <si>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</si>
  <si>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</si>
  <si>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</si>
  <si>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</si>
  <si>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</si>
  <si>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</si>
  <si>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</si>
  <si>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</si>
  <si>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</si>
  <si>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</si>
  <si>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</si>
  <si>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</si>
  <si>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</si>
  <si>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</si>
  <si>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</si>
  <si>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</si>
  <si>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</si>
  <si>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</si>
  <si>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</si>
  <si>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</si>
  <si>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</si>
  <si>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</si>
  <si>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</si>
  <si>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</si>
  <si>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</si>
  <si>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</si>
  <si>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</si>
  <si>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</si>
  <si>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</si>
  <si>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</si>
  <si>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</si>
  <si>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</si>
  <si>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</si>
  <si>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</si>
  <si>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</si>
  <si>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</si>
  <si>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</si>
  <si>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</si>
  <si>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</si>
  <si>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</si>
  <si>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</si>
  <si>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</si>
  <si>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</si>
  <si>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</si>
  <si>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</si>
  <si>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</si>
  <si>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</si>
  <si>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</si>
  <si>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</si>
  <si>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</si>
  <si>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</si>
  <si>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</si>
  <si>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</si>
  <si>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</si>
  <si>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</si>
  <si>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</si>
  <si>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</si>
  <si>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</si>
  <si>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</si>
  <si>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</si>
  <si>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</si>
  <si>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</si>
  <si>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</si>
  <si>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</si>
  <si>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</si>
  <si>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</si>
  <si>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</si>
  <si>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</si>
  <si>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</si>
  <si>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</si>
  <si>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</si>
  <si>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</si>
  <si>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</si>
  <si>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</si>
  <si>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</si>
  <si>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</si>
  <si>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</si>
  <si>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</si>
  <si>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</si>
  <si>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</si>
  <si>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</si>
  <si>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</si>
  <si>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</si>
  <si>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</si>
  <si>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</si>
  <si>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</si>
  <si>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</si>
  <si>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</si>
  <si>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</si>
  <si>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</si>
  <si>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</si>
  <si>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</si>
  <si>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</si>
  <si>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</si>
  <si>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</si>
  <si>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</si>
  <si>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</si>
  <si>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</si>
  <si>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</si>
  <si>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</si>
  <si>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</si>
  <si>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</si>
  <si>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</si>
  <si>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</si>
  <si>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</si>
  <si>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</si>
  <si>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</si>
  <si>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</si>
  <si>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</si>
  <si>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</si>
  <si>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</si>
  <si>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</si>
  <si>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</si>
  <si>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</si>
  <si>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</si>
  <si>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</si>
  <si>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</si>
  <si>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</si>
  <si>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</si>
  <si>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</si>
  <si>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</si>
  <si>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</si>
  <si>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</si>
  <si>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</si>
  <si>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</si>
  <si>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</si>
  <si>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</si>
  <si>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</si>
  <si>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</si>
  <si>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</si>
  <si>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</si>
  <si>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</si>
  <si>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</si>
  <si>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</si>
  <si>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</si>
  <si>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</si>
  <si>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</si>
  <si>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</si>
  <si>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</si>
  <si>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</si>
  <si>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</si>
  <si>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</si>
  <si>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</si>
  <si>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</si>
  <si>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</si>
  <si>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</si>
  <si>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</si>
  <si>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</si>
  <si>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</si>
  <si>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</si>
  <si>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</si>
  <si>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</si>
  <si>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</si>
  <si>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</si>
  <si>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</si>
  <si>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</si>
  <si>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</si>
  <si>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</si>
  <si>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</si>
  <si>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</si>
  <si>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</si>
  <si>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</si>
  <si>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</si>
  <si>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</si>
  <si>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</si>
  <si>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</si>
  <si>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</si>
  <si>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</si>
  <si>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</si>
  <si>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</si>
  <si>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</si>
  <si>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</si>
  <si>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</si>
  <si>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</si>
  <si>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</si>
  <si>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</si>
  <si>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</si>
  <si>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</si>
  <si>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</si>
  <si>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</si>
  <si>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</si>
  <si>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</si>
  <si>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</si>
  <si>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</si>
  <si>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</si>
  <si>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</si>
  <si>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</si>
  <si>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</si>
  <si>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</si>
  <si>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</si>
  <si>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</si>
  <si>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</si>
  <si>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</si>
  <si>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</si>
  <si>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</si>
  <si>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</si>
  <si>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</si>
  <si>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</si>
  <si>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</si>
  <si>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</si>
  <si>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</si>
  <si>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</si>
  <si>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</si>
  <si>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</si>
  <si>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</si>
  <si>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</si>
  <si>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</si>
  <si>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</si>
  <si>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</si>
  <si>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</si>
  <si>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</si>
  <si>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</si>
  <si>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</si>
  <si>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</si>
  <si>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</si>
  <si>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</si>
  <si>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</si>
  <si>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</si>
  <si>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</si>
  <si>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</si>
  <si>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</si>
  <si>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</si>
  <si>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</si>
  <si>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</si>
  <si>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</si>
  <si>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</si>
  <si>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</si>
  <si>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</si>
  <si>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</si>
  <si>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</si>
  <si>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</si>
  <si>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</si>
  <si>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</si>
  <si>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</si>
  <si>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</si>
  <si>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</si>
  <si>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</si>
  <si>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</si>
  <si>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</si>
  <si>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</si>
  <si>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</si>
  <si>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</si>
  <si>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</si>
  <si>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</si>
  <si>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</si>
  <si>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</si>
  <si>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</si>
  <si>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</si>
  <si>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</si>
  <si>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</si>
  <si>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</si>
  <si>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</si>
  <si>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</si>
  <si>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</si>
  <si>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</si>
  <si>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</si>
  <si>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</si>
  <si>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</si>
  <si>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</si>
  <si>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</si>
  <si>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</si>
  <si>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</si>
  <si>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</si>
  <si>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</si>
  <si>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</si>
  <si>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</si>
  <si>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</si>
  <si>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</si>
  <si>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</si>
  <si>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</si>
  <si>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</si>
  <si>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</si>
  <si>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</si>
  <si>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</si>
  <si>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</si>
  <si>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</si>
  <si>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</si>
  <si>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</si>
  <si>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</si>
  <si>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</si>
  <si>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</si>
  <si>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</si>
  <si>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</si>
  <si>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</si>
  <si>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</si>
  <si>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</si>
  <si>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</si>
  <si>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</si>
  <si>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</si>
  <si>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</si>
  <si>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</si>
  <si>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</si>
  <si>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</si>
  <si>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</si>
  <si>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</si>
  <si>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</si>
  <si>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</si>
  <si>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</si>
  <si>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</si>
  <si>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</si>
  <si>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</si>
  <si>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</si>
  <si>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</si>
  <si>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</si>
  <si>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</si>
  <si>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</si>
  <si>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</si>
  <si>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</si>
  <si>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</si>
  <si>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</si>
  <si>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</si>
  <si>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</si>
  <si>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</si>
  <si>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</si>
  <si>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</si>
  <si>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</si>
  <si>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</si>
  <si>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</si>
  <si>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</si>
  <si>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</si>
  <si>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</si>
  <si>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</si>
  <si>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</si>
  <si>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</si>
  <si>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</si>
  <si>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</si>
  <si>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</si>
  <si>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</si>
  <si>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</si>
  <si>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</si>
  <si>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</si>
  <si>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</si>
  <si>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</si>
  <si>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</si>
  <si>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</si>
  <si>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</si>
  <si>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</si>
  <si>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</si>
  <si>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</si>
  <si>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</si>
  <si>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</si>
  <si>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</si>
  <si>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</si>
  <si>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</si>
  <si>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</si>
  <si>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</si>
  <si>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</si>
  <si>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</si>
  <si>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</si>
  <si>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</si>
  <si>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</si>
  <si>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</si>
  <si>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</si>
  <si>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</si>
  <si>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</si>
  <si>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</si>
  <si>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</si>
  <si>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</si>
  <si>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</si>
  <si>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</si>
  <si>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</si>
  <si>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</si>
  <si>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</si>
  <si>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</si>
  <si>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</si>
  <si>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</si>
  <si>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</si>
  <si>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</si>
  <si>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</si>
  <si>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</si>
  <si>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</si>
  <si>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</si>
  <si>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</si>
  <si>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</si>
  <si>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</si>
  <si>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</si>
  <si>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</si>
  <si>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</si>
  <si>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</si>
  <si>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</si>
  <si>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</si>
  <si>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</si>
  <si>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</si>
  <si>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</si>
  <si>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</si>
  <si>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</si>
  <si>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</si>
  <si>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</si>
  <si>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</si>
  <si>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</si>
  <si>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</si>
  <si>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</si>
  <si>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</si>
  <si>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</si>
  <si>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</si>
  <si>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</si>
  <si>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</si>
  <si>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</si>
  <si>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</si>
  <si>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</si>
  <si>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</si>
  <si>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</si>
  <si>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</si>
  <si>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</si>
  <si>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</si>
  <si>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</si>
  <si>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</si>
  <si>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</si>
  <si>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</si>
  <si>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</si>
  <si>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</si>
  <si>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</si>
  <si>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</si>
  <si>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</si>
  <si>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</si>
  <si>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</si>
  <si>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</si>
  <si>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</si>
  <si>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</si>
  <si>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</si>
  <si>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</si>
  <si>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</si>
  <si>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</si>
  <si>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</si>
  <si>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</si>
  <si>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</si>
  <si>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</si>
  <si>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</si>
  <si>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</si>
  <si>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</si>
  <si>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</si>
  <si>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</si>
  <si>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</si>
  <si>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</si>
  <si>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</si>
  <si>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</si>
  <si>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</si>
  <si>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</si>
  <si>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</si>
  <si>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</si>
  <si>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</si>
  <si>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</si>
  <si>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</si>
  <si>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</si>
  <si>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</si>
  <si>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</si>
  <si>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</si>
  <si>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</si>
  <si>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</si>
  <si>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</si>
  <si>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</si>
  <si>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</si>
  <si>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</si>
  <si>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</si>
  <si>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</si>
  <si>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</si>
  <si>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</si>
  <si>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</si>
  <si>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</si>
  <si>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</si>
  <si>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</si>
  <si>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</si>
  <si>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</si>
  <si>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</si>
  <si>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</si>
  <si>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</si>
  <si>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</si>
  <si>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</si>
  <si>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</si>
  <si>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</si>
  <si>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</si>
  <si>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</si>
  <si>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</si>
  <si>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</si>
  <si>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</si>
  <si>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</si>
  <si>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</si>
  <si>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</si>
  <si>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</si>
  <si>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</si>
  <si>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</si>
  <si>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</si>
  <si>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</si>
  <si>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</si>
  <si>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</si>
  <si>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</si>
  <si>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</si>
  <si>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</si>
  <si>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</si>
  <si>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</si>
  <si>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</si>
  <si>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</si>
  <si>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</si>
  <si>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</si>
  <si>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</si>
  <si>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</si>
  <si>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</si>
  <si>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</si>
  <si>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</si>
  <si>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</si>
  <si>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</si>
  <si>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</si>
  <si>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</si>
  <si>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</si>
  <si>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</si>
  <si>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</si>
  <si>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</si>
  <si>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</si>
  <si>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</si>
  <si>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</si>
  <si>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</si>
  <si>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</si>
  <si>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</si>
  <si>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</si>
  <si>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</si>
  <si>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</si>
  <si>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</si>
  <si>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</si>
  <si>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</si>
  <si>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</si>
  <si>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</si>
  <si>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</si>
  <si>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</si>
  <si>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</si>
  <si>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</si>
  <si>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</si>
  <si>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</si>
  <si>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</si>
  <si>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</si>
  <si>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</si>
  <si>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</si>
  <si>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</si>
  <si>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</si>
  <si>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</si>
  <si>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</si>
  <si>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</si>
  <si>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</si>
  <si>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</si>
  <si>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</si>
  <si>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</si>
  <si>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</si>
  <si>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</si>
  <si>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</si>
  <si>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</si>
  <si>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</si>
  <si>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</si>
  <si>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</si>
  <si>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</si>
  <si>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</si>
  <si>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</si>
  <si>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</si>
  <si>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</si>
  <si>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</si>
  <si>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</si>
  <si>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</si>
  <si>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</si>
  <si>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</si>
  <si>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</si>
  <si>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</si>
  <si>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</si>
  <si>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</si>
  <si>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</si>
  <si>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</si>
  <si>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</si>
  <si>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</si>
  <si>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</si>
  <si>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</si>
  <si>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</si>
  <si>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</si>
  <si>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</si>
  <si>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</si>
  <si>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</si>
  <si>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</si>
  <si>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</si>
  <si>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</si>
  <si>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</si>
  <si>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</si>
  <si>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</si>
  <si>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</si>
  <si>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</si>
  <si>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</si>
  <si>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</si>
  <si>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</si>
  <si>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</si>
  <si>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</si>
  <si>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</si>
  <si>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</si>
  <si>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</si>
  <si>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</si>
  <si>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</si>
  <si>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</si>
  <si>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</si>
  <si>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</si>
  <si>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</si>
  <si>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</si>
  <si>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</si>
  <si>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</si>
  <si>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</si>
  <si>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</si>
  <si>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</si>
  <si>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</si>
  <si>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</si>
  <si>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</si>
  <si>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</si>
  <si>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</si>
  <si>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</si>
  <si>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</si>
  <si>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</si>
  <si>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</si>
  <si>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</si>
  <si>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</si>
  <si>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</si>
  <si>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</si>
  <si>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</si>
  <si>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</si>
  <si>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</si>
  <si>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</si>
  <si>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</si>
  <si>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</si>
  <si>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</si>
  <si>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</si>
  <si>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</si>
  <si>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</si>
  <si>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</si>
  <si>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</si>
  <si>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</si>
  <si>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</si>
  <si>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</si>
  <si>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</si>
  <si>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</si>
  <si>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</si>
  <si>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</si>
  <si>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</si>
  <si>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</si>
  <si>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</si>
  <si>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</si>
  <si>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</si>
  <si>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</si>
  <si>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</si>
  <si>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</si>
  <si>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</si>
  <si>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</si>
  <si>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</si>
  <si>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</si>
  <si>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</si>
  <si>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</si>
  <si>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</si>
  <si>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</si>
  <si>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</si>
  <si>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</si>
  <si>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</si>
  <si>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</si>
  <si>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</si>
  <si>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</si>
  <si>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</si>
  <si>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</si>
  <si>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</si>
  <si>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</si>
  <si>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</si>
  <si>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</si>
  <si>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</si>
  <si>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</si>
  <si>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</si>
  <si>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</si>
  <si>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</si>
  <si>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</si>
  <si>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</si>
  <si>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</si>
  <si>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</si>
  <si>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</si>
  <si>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</si>
  <si>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</si>
  <si>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</si>
  <si>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</si>
  <si>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</si>
  <si>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</si>
  <si>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</si>
  <si>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</si>
  <si>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</si>
  <si>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</si>
  <si>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</si>
  <si>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</si>
  <si>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</si>
  <si>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</si>
  <si>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</si>
  <si>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</si>
  <si>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</si>
  <si>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</si>
  <si>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</si>
  <si>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</si>
  <si>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</si>
  <si>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</si>
  <si>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</si>
  <si>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</si>
  <si>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</si>
  <si>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</si>
  <si>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</si>
  <si>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</si>
  <si>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</si>
  <si>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</si>
  <si>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</si>
  <si>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</si>
  <si>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</si>
  <si>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</si>
  <si>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</si>
  <si>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</si>
  <si>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</si>
  <si>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</si>
  <si>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</si>
  <si>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</si>
  <si>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</si>
  <si>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</si>
  <si>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</si>
  <si>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</si>
  <si>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</si>
  <si>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</si>
  <si>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</si>
  <si>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</si>
  <si>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</si>
  <si>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</si>
  <si>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</si>
  <si>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</si>
  <si>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</si>
  <si>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</si>
  <si>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</si>
  <si>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</si>
  <si>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</si>
  <si>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</si>
  <si>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</si>
  <si>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</si>
  <si>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</si>
  <si>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</si>
  <si>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</si>
  <si>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</si>
  <si>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</si>
  <si>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</si>
  <si>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</si>
  <si>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</si>
  <si>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</si>
  <si>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</si>
  <si>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</si>
  <si>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</si>
  <si>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</si>
  <si>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</si>
  <si>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</si>
  <si>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</si>
  <si>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</si>
  <si>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</si>
  <si>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</si>
  <si>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</si>
  <si>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</si>
  <si>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</si>
  <si>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</si>
  <si>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</si>
  <si>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</si>
  <si>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</si>
  <si>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</si>
  <si>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</si>
  <si>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</si>
  <si>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</si>
  <si>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</si>
  <si>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</si>
  <si>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</si>
  <si>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</si>
  <si>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</si>
  <si>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</si>
  <si>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</si>
  <si>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</si>
  <si>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</si>
  <si>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</si>
  <si>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</si>
  <si>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</si>
  <si>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</si>
  <si>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</si>
  <si>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</si>
  <si>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</si>
  <si>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</si>
  <si>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</si>
  <si>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</si>
  <si>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</si>
  <si>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</si>
  <si>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</si>
  <si>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</si>
  <si>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</si>
  <si>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</si>
  <si>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</si>
  <si>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</si>
  <si>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</si>
  <si>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</si>
  <si>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</si>
  <si>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</si>
  <si>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</si>
  <si>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</si>
  <si>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</si>
  <si>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</si>
  <si>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</si>
  <si>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</si>
  <si>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</si>
  <si>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</si>
  <si>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</si>
  <si>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</si>
  <si>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</si>
  <si>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</si>
  <si>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</si>
  <si>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</si>
  <si>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</si>
  <si>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</si>
  <si>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</si>
  <si>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</si>
  <si>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</si>
  <si>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</si>
  <si>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</si>
  <si>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</si>
  <si>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</si>
  <si>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</si>
  <si>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</si>
  <si>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</si>
  <si>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</si>
  <si>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</si>
  <si>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</si>
  <si>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</si>
  <si>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</si>
  <si>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</si>
  <si>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</si>
  <si>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</si>
  <si>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</si>
  <si>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</si>
  <si>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</si>
  <si>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</si>
  <si>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</si>
  <si>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</si>
  <si>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</si>
  <si>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</si>
  <si>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</si>
  <si>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</si>
  <si>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</si>
  <si>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</si>
  <si>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</si>
  <si>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</si>
  <si>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</si>
  <si>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</si>
  <si>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</si>
  <si>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</si>
  <si>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</si>
  <si>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</si>
  <si>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</si>
  <si>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</si>
  <si>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</si>
  <si>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</si>
  <si>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</si>
  <si>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</si>
  <si>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</si>
  <si>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</si>
  <si>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</si>
  <si>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</si>
  <si>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</si>
  <si>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</si>
  <si>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</si>
  <si>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</si>
  <si>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</si>
  <si>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</si>
  <si>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</si>
  <si>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</si>
  <si>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</si>
  <si>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</si>
  <si>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</si>
  <si>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</si>
  <si>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</si>
  <si>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</si>
  <si>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</si>
  <si>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</si>
  <si>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</si>
  <si>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</si>
  <si>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</si>
  <si>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</si>
  <si>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</si>
  <si>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</si>
  <si>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</si>
  <si>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</si>
  <si>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</si>
  <si>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</si>
  <si>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</si>
  <si>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</si>
  <si>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</si>
  <si>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</si>
  <si>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</si>
  <si>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</si>
  <si>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</si>
  <si>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</si>
  <si>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</si>
  <si>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</si>
  <si>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</si>
  <si>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</si>
  <si>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</si>
  <si>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</si>
  <si>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</si>
  <si>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</si>
  <si>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</si>
  <si>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</si>
  <si>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</si>
  <si>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</si>
  <si>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</si>
  <si>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</si>
  <si>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</si>
  <si>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</si>
  <si>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</si>
  <si>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</si>
  <si>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</si>
  <si>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</si>
  <si>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</si>
  <si>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</si>
  <si>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</si>
  <si>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</si>
  <si>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</si>
  <si>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</si>
  <si>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</si>
  <si>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</si>
  <si>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</si>
  <si>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</si>
  <si>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</si>
  <si>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</si>
  <si>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</si>
  <si>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</si>
  <si>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</si>
  <si>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</si>
  <si>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</si>
  <si>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</si>
  <si>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</si>
  <si>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</si>
  <si>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</si>
  <si>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</si>
  <si>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</si>
  <si>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</si>
  <si>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</si>
  <si>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</si>
  <si>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</si>
  <si>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</si>
  <si>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</si>
  <si>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</si>
  <si>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</si>
  <si>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</si>
  <si>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</si>
  <si>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</si>
  <si>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</si>
  <si>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</si>
  <si>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</si>
  <si>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</si>
  <si>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</si>
  <si>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</si>
  <si>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</si>
  <si>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</si>
  <si>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</si>
  <si>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</si>
  <si>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</si>
  <si>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</si>
  <si>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</si>
  <si>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</si>
  <si>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</si>
  <si>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</si>
  <si>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</si>
  <si>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</si>
  <si>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</si>
  <si>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</si>
  <si>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</si>
  <si>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</si>
  <si>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</si>
  <si>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</si>
  <si>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</si>
  <si>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</si>
  <si>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</si>
  <si>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</si>
  <si>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</si>
  <si>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</si>
  <si>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</si>
  <si>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</si>
  <si>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</si>
  <si>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</si>
  <si>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</si>
  <si>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</si>
  <si>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</si>
  <si>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</si>
  <si>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</si>
  <si>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</si>
  <si>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</si>
  <si>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</si>
  <si>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</si>
  <si>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</si>
  <si>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</si>
  <si>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</si>
  <si>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</si>
  <si>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</si>
  <si>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</si>
  <si>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</si>
  <si>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</si>
  <si>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</si>
  <si>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</si>
  <si>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</si>
  <si>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</si>
  <si>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</si>
  <si>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</si>
  <si>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</si>
  <si>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</si>
  <si>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</si>
  <si>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</si>
  <si>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</si>
  <si>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</si>
  <si>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</si>
  <si>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</si>
  <si>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</si>
  <si>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</si>
  <si>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</si>
  <si>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</si>
  <si>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</si>
  <si>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</si>
  <si>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</si>
  <si>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</si>
  <si>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</si>
  <si>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</si>
  <si>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</si>
  <si>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</si>
  <si>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</si>
  <si>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</si>
  <si>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</si>
  <si>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</si>
  <si>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</si>
  <si>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</si>
  <si>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</si>
  <si>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</si>
  <si>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</si>
  <si>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</si>
  <si>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</si>
  <si>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</si>
  <si>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</si>
  <si>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</si>
  <si>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</si>
  <si>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</si>
  <si>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</si>
  <si>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</si>
  <si>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</si>
  <si>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</si>
  <si>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</si>
  <si>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</si>
  <si>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</si>
  <si>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</si>
  <si>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</si>
  <si>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</si>
  <si>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</si>
  <si>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</si>
  <si>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</si>
  <si>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</si>
  <si>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</si>
  <si>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</si>
  <si>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</si>
  <si>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</si>
  <si>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</si>
  <si>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</si>
  <si>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</si>
  <si>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</si>
  <si>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</si>
  <si>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</si>
  <si>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</si>
  <si>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</si>
  <si>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</si>
  <si>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</si>
  <si>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</si>
  <si>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</si>
  <si>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</si>
  <si>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</si>
  <si>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</si>
  <si>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</si>
  <si>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</si>
  <si>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</si>
  <si>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</si>
  <si>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</si>
  <si>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</si>
  <si>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</si>
  <si>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</si>
  <si>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</si>
  <si>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</si>
  <si>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</si>
  <si>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</si>
  <si>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</si>
  <si>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</si>
  <si>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</si>
  <si>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</si>
  <si>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</si>
  <si>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</si>
  <si>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</si>
  <si>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</si>
  <si>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</si>
  <si>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</si>
  <si>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</si>
  <si>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</si>
  <si>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</si>
  <si>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</si>
  <si>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</si>
  <si>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</si>
  <si>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</si>
  <si>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</si>
  <si>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</si>
  <si>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</si>
  <si>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</si>
  <si>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</si>
  <si>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</si>
  <si>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</si>
  <si>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</si>
  <si>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</si>
  <si>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</si>
  <si>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</si>
  <si>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</si>
  <si>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</si>
  <si>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</si>
  <si>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</si>
  <si>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</si>
  <si>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</si>
  <si>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</si>
  <si>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</si>
  <si>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</si>
  <si>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</si>
  <si>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</si>
  <si>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</si>
  <si>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</si>
  <si>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</si>
  <si>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</si>
  <si>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</si>
  <si>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</si>
  <si>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</si>
  <si>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</si>
  <si>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</si>
  <si>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</si>
  <si>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</si>
  <si>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</si>
  <si>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</si>
  <si>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</si>
  <si>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</si>
  <si>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</si>
  <si>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</si>
  <si>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</si>
  <si>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</si>
  <si>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</si>
  <si>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</si>
  <si>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</si>
  <si>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</si>
  <si>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</si>
  <si>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</si>
  <si>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</si>
  <si>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</si>
  <si>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</si>
  <si>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</si>
  <si>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</si>
  <si>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</si>
  <si>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</si>
  <si>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</si>
  <si>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</si>
  <si>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</si>
  <si>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</si>
  <si>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</si>
  <si>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</si>
  <si>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</si>
  <si>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</si>
  <si>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</si>
  <si>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</si>
  <si>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</si>
  <si>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</si>
  <si>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</si>
  <si>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</si>
  <si>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</si>
  <si>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</si>
  <si>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</si>
  <si>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</si>
  <si>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</si>
  <si>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</si>
  <si>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</si>
  <si>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</si>
  <si>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</si>
  <si>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</si>
  <si>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</si>
  <si>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</si>
  <si>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</si>
  <si>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</si>
  <si>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</si>
  <si>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</si>
  <si>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</si>
  <si>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</si>
  <si>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</si>
  <si>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</si>
  <si>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</si>
  <si>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</si>
  <si>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</si>
  <si>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</si>
  <si>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</si>
  <si>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</si>
  <si>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</si>
  <si>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</si>
  <si>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</si>
  <si>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</si>
  <si>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</si>
  <si>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</si>
  <si>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</si>
  <si>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</si>
  <si>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</si>
  <si>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</si>
  <si>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</si>
  <si>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</si>
  <si>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</si>
  <si>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</si>
  <si>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</si>
  <si>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</si>
  <si>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</si>
  <si>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</si>
  <si>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</si>
  <si>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</si>
  <si>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</si>
  <si>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</si>
  <si>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</si>
  <si>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</si>
  <si>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</si>
  <si>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</si>
  <si>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</si>
  <si>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</si>
  <si>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</si>
  <si>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</si>
  <si>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</si>
  <si>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</si>
  <si>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</si>
  <si>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</si>
  <si>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</si>
  <si>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</si>
  <si>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</si>
  <si>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</si>
  <si>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</si>
  <si>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</si>
  <si>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</si>
  <si>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</si>
  <si>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</si>
  <si>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</si>
  <si>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</si>
  <si>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</si>
  <si>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</si>
  <si>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</si>
  <si>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</si>
  <si>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</si>
  <si>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</si>
  <si>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</si>
  <si>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</si>
  <si>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</si>
  <si>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</si>
  <si>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</si>
  <si>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</si>
  <si>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</si>
  <si>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</si>
  <si>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</si>
  <si>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</si>
  <si>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</si>
  <si>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</si>
  <si>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</si>
  <si>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</si>
  <si>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</si>
  <si>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</si>
  <si>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</si>
  <si>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</si>
  <si>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</si>
  <si>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</si>
  <si>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</si>
  <si>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</si>
  <si>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</si>
  <si>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</si>
  <si>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</si>
  <si>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</si>
  <si>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</si>
  <si>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</si>
  <si>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</si>
  <si>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</si>
  <si>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</si>
  <si>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</si>
  <si>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</si>
  <si>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</si>
  <si>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</si>
  <si>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</si>
  <si>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</si>
  <si>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</si>
  <si>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</si>
  <si>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</si>
  <si>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</si>
  <si>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</si>
  <si>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</si>
  <si>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</si>
  <si>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</si>
  <si>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</si>
  <si>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</si>
  <si>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</si>
  <si>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</si>
  <si>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</si>
  <si>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</si>
  <si>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</si>
  <si>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</si>
  <si>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</si>
  <si>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</si>
  <si>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</si>
  <si>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</si>
  <si>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</si>
  <si>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</si>
  <si>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</si>
  <si>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</si>
  <si>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</si>
  <si>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</si>
  <si>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</si>
  <si>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</si>
  <si>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</si>
  <si>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</si>
  <si>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</si>
  <si>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</si>
  <si>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</si>
  <si>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</si>
  <si>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</si>
  <si>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</si>
  <si>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</si>
  <si>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</si>
  <si>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</si>
  <si>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</si>
  <si>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</si>
  <si>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</si>
  <si>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</si>
  <si>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</si>
  <si>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</si>
  <si>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</si>
  <si>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</si>
  <si>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</si>
  <si>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</si>
  <si>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</si>
  <si>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</si>
  <si>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</si>
  <si>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</si>
  <si>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</si>
  <si>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</si>
  <si>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</si>
  <si>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</si>
  <si>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</si>
  <si>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</si>
  <si>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</si>
  <si>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</si>
  <si>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</si>
  <si>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</si>
  <si>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</si>
  <si>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</si>
  <si>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</si>
  <si>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</si>
  <si>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</si>
  <si>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</si>
  <si>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</si>
  <si>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</si>
  <si>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</si>
  <si>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</si>
  <si>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</si>
  <si>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</si>
  <si>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</si>
  <si>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</si>
  <si>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</si>
  <si>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</si>
  <si>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</si>
  <si>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</si>
  <si>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</si>
  <si>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</si>
  <si>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</si>
  <si>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</si>
  <si>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</si>
  <si>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</si>
  <si>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</si>
  <si>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</si>
  <si>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</si>
  <si>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</si>
  <si>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</si>
  <si>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</si>
  <si>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</si>
  <si>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</si>
  <si>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</si>
  <si>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</si>
  <si>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</si>
  <si>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</si>
  <si>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</si>
  <si>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</si>
  <si>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</si>
  <si>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</si>
  <si>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</si>
  <si>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</si>
  <si>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</si>
  <si>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</si>
  <si>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</si>
  <si>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</si>
  <si>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</si>
  <si>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</si>
  <si>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</si>
  <si>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</si>
  <si>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</si>
  <si>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</si>
  <si>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</si>
  <si>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</si>
  <si>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</si>
  <si>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</si>
  <si>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</si>
  <si>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</si>
  <si>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</si>
  <si>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</si>
  <si>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</si>
  <si>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</si>
  <si>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</si>
  <si>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</si>
  <si>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</si>
  <si>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</si>
  <si>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</si>
  <si>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</si>
  <si>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</si>
  <si>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</si>
  <si>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</si>
  <si>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</si>
  <si>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</si>
  <si>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</si>
  <si>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</si>
  <si>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</si>
  <si>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</si>
  <si>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</si>
  <si>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</si>
  <si>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</si>
  <si>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</si>
  <si>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</si>
  <si>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</si>
  <si>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</si>
  <si>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</si>
  <si>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</si>
  <si>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</si>
  <si>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</si>
  <si>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</si>
  <si>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</si>
  <si>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</si>
  <si>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</si>
  <si>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</si>
  <si>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</si>
  <si>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</si>
  <si>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</si>
  <si>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</si>
  <si>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</si>
  <si>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</si>
  <si>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</si>
  <si>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</si>
  <si>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</si>
  <si>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</si>
  <si>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</si>
  <si>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</si>
  <si>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</si>
  <si>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</si>
  <si>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</si>
  <si>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</si>
  <si>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</si>
  <si>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</si>
  <si>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</si>
  <si>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</si>
  <si>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</si>
  <si>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</si>
  <si>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</si>
  <si>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</si>
  <si>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</si>
  <si>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</si>
  <si>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</si>
  <si>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</si>
  <si>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</si>
  <si>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</si>
  <si>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</si>
  <si>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</si>
  <si>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</si>
  <si>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</si>
  <si>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</si>
  <si>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</si>
  <si>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</si>
  <si>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</si>
  <si>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</si>
  <si>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</si>
  <si>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</si>
  <si>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</si>
  <si>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</si>
  <si>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</si>
  <si>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</si>
  <si>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</si>
  <si>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</si>
  <si>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</si>
  <si>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</si>
  <si>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</si>
  <si>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</si>
  <si>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</si>
  <si>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</si>
  <si>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</si>
  <si>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</si>
  <si>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</si>
  <si>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</si>
  <si>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</si>
  <si>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</si>
  <si>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</si>
  <si>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</si>
  <si>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</si>
  <si>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</si>
  <si>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</si>
  <si>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</si>
  <si>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</si>
  <si>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</si>
  <si>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</si>
  <si>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</si>
  <si>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</si>
  <si>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</si>
  <si>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</si>
  <si>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</si>
  <si>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</si>
  <si>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</si>
  <si>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</si>
  <si>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</si>
  <si>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</si>
  <si>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</si>
  <si>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</si>
  <si>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</si>
  <si>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</si>
  <si>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</si>
  <si>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</si>
  <si>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</si>
  <si>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</si>
  <si>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</si>
  <si>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</si>
  <si>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</si>
  <si>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</si>
  <si>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</si>
  <si>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</si>
  <si>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</si>
  <si>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</si>
  <si>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</si>
  <si>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</si>
  <si>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</si>
  <si>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</si>
  <si>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</si>
  <si>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</si>
  <si>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</si>
  <si>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</si>
  <si>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</si>
  <si>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</si>
  <si>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</si>
  <si>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</si>
  <si>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</si>
  <si>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</si>
  <si>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</si>
  <si>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</si>
  <si>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</si>
  <si>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</si>
  <si>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</si>
  <si>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</si>
  <si>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</si>
  <si>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</si>
  <si>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</si>
  <si>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</si>
  <si>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</si>
  <si>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</si>
  <si>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</si>
  <si>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</si>
  <si>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</si>
  <si>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</si>
  <si>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</si>
  <si>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</si>
  <si>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</si>
  <si>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</si>
  <si>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</si>
  <si>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</si>
  <si>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</si>
  <si>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</si>
  <si>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</si>
  <si>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</si>
  <si>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</si>
  <si>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</si>
  <si>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</si>
  <si>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</si>
  <si>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</si>
  <si>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</si>
  <si>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</si>
  <si>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</si>
  <si>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</si>
  <si>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</si>
  <si>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</si>
  <si>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</si>
  <si>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</si>
  <si>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</si>
  <si>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</si>
  <si>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</si>
  <si>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</si>
  <si>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</si>
  <si>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</si>
  <si>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</si>
  <si>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</si>
  <si>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</si>
  <si>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</si>
  <si>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</si>
  <si>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</si>
  <si>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</si>
  <si>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</si>
  <si>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</si>
  <si>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</si>
  <si>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</si>
  <si>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</si>
  <si>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</si>
  <si>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</si>
  <si>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</si>
  <si>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</si>
  <si>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</si>
  <si>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</si>
  <si>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</si>
  <si>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</si>
  <si>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</si>
  <si>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</si>
  <si>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</si>
  <si>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</si>
  <si>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</si>
  <si>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</si>
  <si>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</si>
  <si>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</si>
  <si>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</si>
  <si>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</si>
  <si>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</si>
  <si>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</si>
  <si>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</si>
  <si>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</si>
  <si>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</si>
  <si>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</si>
  <si>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</si>
  <si>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</si>
  <si>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</si>
  <si>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</si>
  <si>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</si>
  <si>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</si>
  <si>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</si>
  <si>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</si>
  <si>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</si>
  <si>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</si>
  <si>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</si>
  <si>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</si>
  <si>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</si>
  <si>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</si>
  <si>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</si>
  <si>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</si>
  <si>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</si>
  <si>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</si>
  <si>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</si>
  <si>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</si>
  <si>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</si>
  <si>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</si>
  <si>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</si>
  <si>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</si>
  <si>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</si>
  <si>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</si>
  <si>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</si>
  <si>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</si>
  <si>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</si>
  <si>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</si>
  <si>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</si>
  <si>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</si>
  <si>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</si>
  <si>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</si>
  <si>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</si>
  <si>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</si>
  <si>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</si>
  <si>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</si>
  <si>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</si>
  <si>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</si>
  <si>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</si>
  <si>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</si>
  <si>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</si>
  <si>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</si>
  <si>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</si>
  <si>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</si>
  <si>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</si>
  <si>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</si>
  <si>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</si>
  <si>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</si>
  <si>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</si>
  <si>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</si>
  <si>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</si>
  <si>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</si>
  <si>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</si>
  <si>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</si>
  <si>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</si>
  <si>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</si>
  <si>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</si>
  <si>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</si>
  <si>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</si>
  <si>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</si>
  <si>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</si>
  <si>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</si>
  <si>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</si>
  <si>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</si>
  <si>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</si>
  <si>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</si>
  <si>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</si>
  <si>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</si>
  <si>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</si>
  <si>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</si>
  <si>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</si>
  <si>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</si>
  <si>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</si>
  <si>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</si>
  <si>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</si>
  <si>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</si>
  <si>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</si>
  <si>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</si>
  <si>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</si>
  <si>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</si>
  <si>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</si>
  <si>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</si>
  <si>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</si>
  <si>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</si>
  <si>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</si>
  <si>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</si>
  <si>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</si>
  <si>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</si>
  <si>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</si>
  <si>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</si>
  <si>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</si>
  <si>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</si>
  <si>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</si>
  <si>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</si>
  <si>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</si>
  <si>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</si>
  <si>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</si>
  <si>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</si>
  <si>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</si>
  <si>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</si>
  <si>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</si>
  <si>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</si>
  <si>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</si>
  <si>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</si>
  <si>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</si>
  <si>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</si>
  <si>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</si>
  <si>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</si>
  <si>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</si>
  <si>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</si>
  <si>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</si>
  <si>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</si>
  <si>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</si>
  <si>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</si>
  <si>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</si>
  <si>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</si>
  <si>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</si>
  <si>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</si>
  <si>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</si>
  <si>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</si>
  <si>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</si>
  <si>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</si>
  <si>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</si>
  <si>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</si>
  <si>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</si>
  <si>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</si>
  <si>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</si>
  <si>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</si>
  <si>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</si>
  <si>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</si>
  <si>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</si>
  <si>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</si>
  <si>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</si>
  <si>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</si>
  <si>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</si>
  <si>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</si>
  <si>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</si>
  <si>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</si>
  <si>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</si>
  <si>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</si>
  <si>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</si>
  <si>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</si>
  <si>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</si>
  <si>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</si>
  <si>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</si>
  <si>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</si>
  <si>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</si>
  <si>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</si>
  <si>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</si>
  <si>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</si>
  <si>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</si>
  <si>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</si>
  <si>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</si>
  <si>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</si>
  <si>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</si>
  <si>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</si>
  <si>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</si>
  <si>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</si>
  <si>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</si>
  <si>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</si>
  <si>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</si>
  <si>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</si>
  <si>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</si>
  <si>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</si>
  <si>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</si>
  <si>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</si>
  <si>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</si>
  <si>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</si>
  <si>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</si>
  <si>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</si>
  <si>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</si>
  <si>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</si>
  <si>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</si>
  <si>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</si>
  <si>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</si>
  <si>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</si>
  <si>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</si>
  <si>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</si>
  <si>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</si>
  <si>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</si>
  <si>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</si>
  <si>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</si>
  <si>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</si>
  <si>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</si>
  <si>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</si>
  <si>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</si>
  <si>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</si>
  <si>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</si>
  <si>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</si>
  <si>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</si>
  <si>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</si>
  <si>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</si>
  <si>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</si>
  <si>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</si>
  <si>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</si>
  <si>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</si>
  <si>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</si>
  <si>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</si>
  <si>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</si>
  <si>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</si>
  <si>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</si>
  <si>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</si>
  <si>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</si>
  <si>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</si>
  <si>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</si>
  <si>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</si>
  <si>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</si>
  <si>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</si>
  <si>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</si>
  <si>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</si>
  <si>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</si>
  <si>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</si>
  <si>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</si>
  <si>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</si>
  <si>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</si>
  <si>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</si>
  <si>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</si>
  <si>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</si>
  <si>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</si>
  <si>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</si>
  <si>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</si>
  <si>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</si>
  <si>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</si>
  <si>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</si>
  <si>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</si>
  <si>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</si>
  <si>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</si>
  <si>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</si>
  <si>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</si>
  <si>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</si>
  <si>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</si>
  <si>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</si>
  <si>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</si>
  <si>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</si>
  <si>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</si>
  <si>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</si>
  <si>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</si>
  <si>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</si>
  <si>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</si>
  <si>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</si>
  <si>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</si>
  <si>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</si>
  <si>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</si>
  <si>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</si>
  <si>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</si>
  <si>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</si>
  <si>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</si>
  <si>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</si>
  <si>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</si>
  <si>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</si>
  <si>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</si>
  <si>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</si>
  <si>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</si>
  <si>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</si>
  <si>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</si>
  <si>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</si>
  <si>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</si>
  <si>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</si>
  <si>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</si>
  <si>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</si>
  <si>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</si>
  <si>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</si>
  <si>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</si>
  <si>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</si>
  <si>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</si>
  <si>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</si>
  <si>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</si>
  <si>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</si>
  <si>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</si>
  <si>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</si>
  <si>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</si>
  <si>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</si>
  <si>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</si>
  <si>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</si>
  <si>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</si>
  <si>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</si>
  <si>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</si>
  <si>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</si>
  <si>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</si>
  <si>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</si>
  <si>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</si>
  <si>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</si>
  <si>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</si>
  <si>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</si>
  <si>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</si>
  <si>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</si>
  <si>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</si>
  <si>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</si>
  <si>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</si>
  <si>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</si>
  <si>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</si>
  <si>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</si>
  <si>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</si>
  <si>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</si>
  <si>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</si>
  <si>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</si>
  <si>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</si>
  <si>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</si>
  <si>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</si>
  <si>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</si>
  <si>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</si>
  <si>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</si>
  <si>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</si>
  <si>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</si>
  <si>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</si>
  <si>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</si>
  <si>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</si>
  <si>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</si>
  <si>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</si>
  <si>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</si>
  <si>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</si>
  <si>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</si>
  <si>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</si>
  <si>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</si>
  <si>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</si>
  <si>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</si>
  <si>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</si>
  <si>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</si>
  <si>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</si>
  <si>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</si>
  <si>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</si>
  <si>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</si>
  <si>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</si>
  <si>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</si>
  <si>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</si>
  <si>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</si>
  <si>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</si>
  <si>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</si>
  <si>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</si>
  <si>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</si>
  <si>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</si>
  <si>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</si>
  <si>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</si>
  <si>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</si>
  <si>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</si>
  <si>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</si>
  <si>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</si>
  <si>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</si>
  <si>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</si>
  <si>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</si>
  <si>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</si>
  <si>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</si>
  <si>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</si>
  <si>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</si>
  <si>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</si>
  <si>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</si>
  <si>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</si>
  <si>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</si>
  <si>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</si>
  <si>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</si>
  <si>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</si>
  <si>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</si>
  <si>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</si>
  <si>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</si>
  <si>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</si>
  <si>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</si>
  <si>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</si>
  <si>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</si>
  <si>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</si>
  <si>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</si>
  <si>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</si>
  <si>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</si>
  <si>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</si>
  <si>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</si>
  <si>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</si>
  <si>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</si>
  <si>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</si>
  <si>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</si>
  <si>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</si>
  <si>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</si>
  <si>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</si>
  <si>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</si>
  <si>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</si>
  <si>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</si>
  <si>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</si>
  <si>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</si>
  <si>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</si>
  <si>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</si>
  <si>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</si>
  <si>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</si>
  <si>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</si>
  <si>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</si>
  <si>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</si>
  <si>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</si>
  <si>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</si>
  <si>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</si>
  <si>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</si>
  <si>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</si>
  <si>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</si>
  <si>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</si>
  <si>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</si>
  <si>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</si>
  <si>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</si>
  <si>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</si>
  <si>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</si>
  <si>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</si>
  <si>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</si>
  <si>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</si>
  <si>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</si>
  <si>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</si>
  <si>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</si>
  <si>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</si>
  <si>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</si>
  <si>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</si>
  <si>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</si>
  <si>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</si>
  <si>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</si>
  <si>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</si>
  <si>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</si>
  <si>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</si>
  <si>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</si>
  <si>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</si>
  <si>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</si>
  <si>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</si>
  <si>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</si>
  <si>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</si>
  <si>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</si>
  <si>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</si>
  <si>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</si>
  <si>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</si>
  <si>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</si>
  <si>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</si>
  <si>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</si>
  <si>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</si>
  <si>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</si>
  <si>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</si>
  <si>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</si>
  <si>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</si>
  <si>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</si>
  <si>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</si>
  <si>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</si>
  <si>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</si>
  <si>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</si>
  <si>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</si>
  <si>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</si>
  <si>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</si>
  <si>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</si>
  <si>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</si>
  <si>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</si>
  <si>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</si>
  <si>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</si>
  <si>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</si>
  <si>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</si>
  <si>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</si>
  <si>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</si>
  <si>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</si>
  <si>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</si>
  <si>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</si>
  <si>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</si>
  <si>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</si>
  <si>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</si>
  <si>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</si>
  <si>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</si>
  <si>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</si>
  <si>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</si>
  <si>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</si>
  <si>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</si>
  <si>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</si>
  <si>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</si>
  <si>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</si>
  <si>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</si>
  <si>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</si>
  <si>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</si>
  <si>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</si>
  <si>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</si>
  <si>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</si>
  <si>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</si>
  <si>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</si>
  <si>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</si>
  <si>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</si>
  <si>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</si>
  <si>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</si>
  <si>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</si>
  <si>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</si>
  <si>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</si>
  <si>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</si>
  <si>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</si>
  <si>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</si>
  <si>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</si>
  <si>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</si>
  <si>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</si>
  <si>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</si>
  <si>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</si>
  <si>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</si>
  <si>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</si>
  <si>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</si>
  <si>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</si>
  <si>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</si>
  <si>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</si>
  <si>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</si>
  <si>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</si>
  <si>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</si>
  <si>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</si>
  <si>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</si>
  <si>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</si>
  <si>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</si>
  <si>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</si>
  <si>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</si>
  <si>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</si>
  <si>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</si>
  <si>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</si>
  <si>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</si>
  <si>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</si>
  <si>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</si>
  <si>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</si>
  <si>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</si>
  <si>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</si>
  <si>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</si>
  <si>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</si>
  <si>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</si>
  <si>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</si>
  <si>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</si>
  <si>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</si>
  <si>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</si>
  <si>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</si>
  <si>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</si>
  <si>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</si>
  <si>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</si>
  <si>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</si>
  <si>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</si>
  <si>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</si>
  <si>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</si>
  <si>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</si>
  <si>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</si>
  <si>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</si>
  <si>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</si>
  <si>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</si>
  <si>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</si>
  <si>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</si>
  <si>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</si>
  <si>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</si>
  <si>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</si>
  <si>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</si>
  <si>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</si>
  <si>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</si>
  <si>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</si>
  <si>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</si>
  <si>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</si>
  <si>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</si>
  <si>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</si>
  <si>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</si>
  <si>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</si>
  <si>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</si>
  <si>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</si>
  <si>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</si>
  <si>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</si>
  <si>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</si>
  <si>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</si>
  <si>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</si>
  <si>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</si>
  <si>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</si>
  <si>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</si>
  <si>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</si>
  <si>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</si>
  <si>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</si>
  <si>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</si>
  <si>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</si>
  <si>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</si>
  <si>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</si>
  <si>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</si>
  <si>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</si>
  <si>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</si>
  <si>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</si>
  <si>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</si>
  <si>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</si>
  <si>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</si>
  <si>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</si>
  <si>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</si>
  <si>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</si>
  <si>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</si>
  <si>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</si>
  <si>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</si>
  <si>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</si>
  <si>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</si>
  <si>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</si>
  <si>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</si>
  <si>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</si>
  <si>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</si>
  <si>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</si>
  <si>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</si>
  <si>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</si>
  <si>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</si>
  <si>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</si>
  <si>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</si>
  <si>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</si>
  <si>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</si>
  <si>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</si>
  <si>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</si>
  <si>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</si>
  <si>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</si>
  <si>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</si>
  <si>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</si>
  <si>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</si>
  <si>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</si>
  <si>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</si>
  <si>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</si>
  <si>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</si>
  <si>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</si>
  <si>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</si>
  <si>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</si>
  <si>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</si>
  <si>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</si>
  <si>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</si>
  <si>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</si>
  <si>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</si>
  <si>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</si>
  <si>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</si>
  <si>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</si>
  <si>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</si>
  <si>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</si>
  <si>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</si>
  <si>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</si>
  <si>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</si>
  <si>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</si>
  <si>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</si>
  <si>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</si>
  <si>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</si>
  <si>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</si>
  <si>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</si>
  <si>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</si>
  <si>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</si>
  <si>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</si>
  <si>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</si>
  <si>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</si>
  <si>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</si>
  <si>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</si>
  <si>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</si>
  <si>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</si>
  <si>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</si>
  <si>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</si>
  <si>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</si>
  <si>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</si>
  <si>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</si>
  <si>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</si>
  <si>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</si>
  <si>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</si>
  <si>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</si>
  <si>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</si>
  <si>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</si>
  <si>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</si>
  <si>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</si>
  <si>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</si>
  <si>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</si>
  <si>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</si>
  <si>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</si>
  <si>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</si>
  <si>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</si>
  <si>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</si>
  <si>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</si>
  <si>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</si>
  <si>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</si>
  <si>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</si>
  <si>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</si>
  <si>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</si>
  <si>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</si>
  <si>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</si>
  <si>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</si>
  <si>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</si>
  <si>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</si>
  <si>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</si>
  <si>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</si>
  <si>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</si>
  <si>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</si>
  <si>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</si>
  <si>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</si>
  <si>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</si>
  <si>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</si>
  <si>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</si>
  <si>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</si>
  <si>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</si>
  <si>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</si>
  <si>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</si>
  <si>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</si>
  <si>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</si>
  <si>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</si>
  <si>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</si>
  <si>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</si>
  <si>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</si>
  <si>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</si>
  <si>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</si>
  <si>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</si>
  <si>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</si>
  <si>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</si>
  <si>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</si>
  <si>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</si>
  <si>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</si>
  <si>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</si>
  <si>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</si>
  <si>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</si>
  <si>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</si>
  <si>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</si>
  <si>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</si>
  <si>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</si>
  <si>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</si>
  <si>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</si>
  <si>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</si>
  <si>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</si>
  <si>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</si>
  <si>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</si>
  <si>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</si>
  <si>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</si>
  <si>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</si>
  <si>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</si>
  <si>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</si>
  <si>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</si>
  <si>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</si>
  <si>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</si>
  <si>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</si>
  <si>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</si>
  <si>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</si>
  <si>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</si>
  <si>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</si>
  <si>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</si>
  <si>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</si>
  <si>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</si>
  <si>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</si>
  <si>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</si>
  <si>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</si>
  <si>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</si>
  <si>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</si>
  <si>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</si>
  <si>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</si>
  <si>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</si>
  <si>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</si>
  <si>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</si>
  <si>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</si>
  <si>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</si>
  <si>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</si>
  <si>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</si>
  <si>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</si>
  <si>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</si>
  <si>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</si>
  <si>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</si>
  <si>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</si>
  <si>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</si>
  <si>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</si>
  <si>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</si>
  <si>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</si>
  <si>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</si>
  <si>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</si>
  <si>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</si>
  <si>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</si>
  <si>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</si>
  <si>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</si>
  <si>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</si>
  <si>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</si>
  <si>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</si>
  <si>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</si>
  <si>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</si>
  <si>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</si>
  <si>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</si>
  <si>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</si>
  <si>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</si>
  <si>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</si>
  <si>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</si>
  <si>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</si>
  <si>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</si>
  <si>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</si>
  <si>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</si>
  <si>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</si>
  <si>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</si>
  <si>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</si>
  <si>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</si>
  <si>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</si>
  <si>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</si>
  <si>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</si>
  <si>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</si>
  <si>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</si>
  <si>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</si>
  <si>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</si>
  <si>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</si>
  <si>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</si>
  <si>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</si>
  <si>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</si>
  <si>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</si>
  <si>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</si>
  <si>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</si>
  <si>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</si>
  <si>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</si>
  <si>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</si>
  <si>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</si>
  <si>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</si>
  <si>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</si>
  <si>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</si>
  <si>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</si>
  <si>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</si>
  <si>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</si>
  <si>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</si>
  <si>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</si>
  <si>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</si>
  <si>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</si>
  <si>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</si>
  <si>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</si>
  <si>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</si>
  <si>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</si>
  <si>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</si>
  <si>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</si>
  <si>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</si>
  <si>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</si>
  <si>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</si>
  <si>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</si>
  <si>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</si>
  <si>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</si>
  <si>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</si>
  <si>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</si>
  <si>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</si>
  <si>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</si>
  <si>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</si>
  <si>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</si>
  <si>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</si>
  <si>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</si>
  <si>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</si>
  <si>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</si>
  <si>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</si>
  <si>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</si>
  <si>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</si>
  <si>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</si>
  <si>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</si>
  <si>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</si>
  <si>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</si>
  <si>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</si>
  <si>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</si>
  <si>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</si>
  <si>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</si>
  <si>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</si>
  <si>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</si>
  <si>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</si>
  <si>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</si>
  <si>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</si>
  <si>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</si>
  <si>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</si>
  <si>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</si>
  <si>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</si>
  <si>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</si>
  <si>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</si>
  <si>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</si>
  <si>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</si>
  <si>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</si>
  <si>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</si>
  <si>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</si>
  <si>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</si>
  <si>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</si>
  <si>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</si>
  <si>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</si>
  <si>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</si>
  <si>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</si>
  <si>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</si>
  <si>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</si>
  <si>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</si>
  <si>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</si>
  <si>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</si>
  <si>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</si>
  <si>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</si>
  <si>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</si>
  <si>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</si>
  <si>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</si>
  <si>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</si>
  <si>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</si>
  <si>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</si>
  <si>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</si>
  <si>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</si>
  <si>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</si>
  <si>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</si>
  <si>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</si>
  <si>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</si>
  <si>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</si>
  <si>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</si>
  <si>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</si>
  <si>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</si>
  <si>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</si>
  <si>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</si>
  <si>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</si>
  <si>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</si>
  <si>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</si>
  <si>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</si>
  <si>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</si>
  <si>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</si>
  <si>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</si>
  <si>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</si>
  <si>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</si>
  <si>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</si>
  <si>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</si>
  <si>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</si>
  <si>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</si>
  <si>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</si>
  <si>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</si>
  <si>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</si>
  <si>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</si>
  <si>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</si>
  <si>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</si>
  <si>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</si>
  <si>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</si>
  <si>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</si>
  <si>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</si>
  <si>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</si>
  <si>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</si>
  <si>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</si>
  <si>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</si>
  <si>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</si>
  <si>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</si>
  <si>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</si>
  <si>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</si>
  <si>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</si>
  <si>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</si>
  <si>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</si>
  <si>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</si>
  <si>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</si>
  <si>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</si>
  <si>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</si>
  <si>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</si>
  <si>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</si>
  <si>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</si>
  <si>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</si>
  <si>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</si>
  <si>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</si>
  <si>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</si>
  <si>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</si>
  <si>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</si>
  <si>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</si>
  <si>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</si>
  <si>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</si>
  <si>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</si>
  <si>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</si>
  <si>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</si>
  <si>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</si>
  <si>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</si>
  <si>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</si>
  <si>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</si>
  <si>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</si>
  <si>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</si>
  <si>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</si>
  <si>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</si>
  <si>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</si>
  <si>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</si>
  <si>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</si>
  <si>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</si>
  <si>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</si>
  <si>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</si>
  <si>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</si>
  <si>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</si>
  <si>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</si>
  <si>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</si>
  <si>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</si>
  <si>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</si>
  <si>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</si>
  <si>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</si>
  <si>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</si>
  <si>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</si>
  <si>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</si>
  <si>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</si>
  <si>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</si>
  <si>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</si>
  <si>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</si>
  <si>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</si>
  <si>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</si>
  <si>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</si>
  <si>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</si>
  <si>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</si>
  <si>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</si>
  <si>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</si>
  <si>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</si>
  <si>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</si>
  <si>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</si>
  <si>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</si>
  <si>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</si>
  <si>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</si>
  <si>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</si>
  <si>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</si>
  <si>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</si>
  <si>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</si>
  <si>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</si>
  <si>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</si>
  <si>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</si>
  <si>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</si>
  <si>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</si>
  <si>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</si>
  <si>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</si>
  <si>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</si>
  <si>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</si>
  <si>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</si>
  <si>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</si>
  <si>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</si>
  <si>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</si>
  <si>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</si>
  <si>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</si>
  <si>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</si>
  <si>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</si>
  <si>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</si>
  <si>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</si>
  <si>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</si>
  <si>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</si>
  <si>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</si>
  <si>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</si>
  <si>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</si>
  <si>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</si>
  <si>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</si>
  <si>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</si>
  <si>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</si>
  <si>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</si>
  <si>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</si>
  <si>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</si>
  <si>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</si>
  <si>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</si>
  <si>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</si>
  <si>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</si>
  <si>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</si>
  <si>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</si>
  <si>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</si>
  <si>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</si>
  <si>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</si>
  <si>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</si>
  <si>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</si>
  <si>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</si>
  <si>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</si>
  <si>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</si>
  <si>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</si>
  <si>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</si>
  <si>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</si>
  <si>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</si>
  <si>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</si>
  <si>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</si>
  <si>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</si>
  <si>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</si>
  <si>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</si>
  <si>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</si>
  <si>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</si>
  <si>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</si>
  <si>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</si>
  <si>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</si>
  <si>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</si>
  <si>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</si>
  <si>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</si>
  <si>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</si>
  <si>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</si>
  <si>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</si>
  <si>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</si>
  <si>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</si>
  <si>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</si>
  <si>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</si>
  <si>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</si>
  <si>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</si>
  <si>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</si>
  <si>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</si>
  <si>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</si>
  <si>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</si>
  <si>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</si>
  <si>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</si>
  <si>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</si>
  <si>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</si>
  <si>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</si>
  <si>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</si>
  <si>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</si>
  <si>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</si>
  <si>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</si>
  <si>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</si>
  <si>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</si>
  <si>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</si>
  <si>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</si>
  <si>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</si>
  <si>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</si>
  <si>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</si>
  <si>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</si>
  <si>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</si>
  <si>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</si>
  <si>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</si>
  <si>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</si>
  <si>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</si>
  <si>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</si>
  <si>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</si>
  <si>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</si>
  <si>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</si>
  <si>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</si>
  <si>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</si>
  <si>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</si>
  <si>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</si>
  <si>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</si>
  <si>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</si>
  <si>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</si>
  <si>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</si>
  <si>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</si>
  <si>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</si>
  <si>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</si>
  <si>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</si>
  <si>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</si>
  <si>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</si>
  <si>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</si>
  <si>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</si>
  <si>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</si>
  <si>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</si>
  <si>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</si>
  <si>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</si>
  <si>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</si>
  <si>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</si>
  <si>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</si>
  <si>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</si>
  <si>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</si>
  <si>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</si>
  <si>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</si>
  <si>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</si>
  <si>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</si>
  <si>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</si>
  <si>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</si>
  <si>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</si>
  <si>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</si>
  <si>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</si>
  <si>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</si>
  <si>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</si>
  <si>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</si>
  <si>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</si>
  <si>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</si>
  <si>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</si>
  <si>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</si>
  <si>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</si>
  <si>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</si>
  <si>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</si>
  <si>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</si>
  <si>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</si>
  <si>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</si>
  <si>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</si>
  <si>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</si>
  <si>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</si>
  <si>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</si>
  <si>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</si>
  <si>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</si>
  <si>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</si>
  <si>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</si>
  <si>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</si>
  <si>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</si>
  <si>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</si>
  <si>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</si>
  <si>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</si>
  <si>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</si>
  <si>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</si>
  <si>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</si>
  <si>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</si>
  <si>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</si>
  <si>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</si>
  <si>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</si>
  <si>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</si>
  <si>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</si>
  <si>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</si>
  <si>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</si>
  <si>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</si>
  <si>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</si>
  <si>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</si>
  <si>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</si>
  <si>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</si>
  <si>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</si>
  <si>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</si>
  <si>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</si>
  <si>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</si>
  <si>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</si>
  <si>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</si>
  <si>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</si>
  <si>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</si>
  <si>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</si>
  <si>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</si>
  <si>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</si>
  <si>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</si>
  <si>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</si>
  <si>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</si>
  <si>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</si>
  <si>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</si>
  <si>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</si>
  <si>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</si>
  <si>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</si>
  <si>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</si>
  <si>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</si>
  <si>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</si>
  <si>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</si>
  <si>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</si>
  <si>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</si>
  <si>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</si>
  <si>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</si>
  <si>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</si>
  <si>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</si>
  <si>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</si>
  <si>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</si>
  <si>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</si>
  <si>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</si>
  <si>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</si>
  <si>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</si>
  <si>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</si>
  <si>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</si>
  <si>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</si>
  <si>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</si>
  <si>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</si>
  <si>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</si>
  <si>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</si>
  <si>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</si>
  <si>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</si>
  <si>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</si>
  <si>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</si>
  <si>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</si>
  <si>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</si>
  <si>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</si>
  <si>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</si>
  <si>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</si>
  <si>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</si>
  <si>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</si>
  <si>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</si>
  <si>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</si>
  <si>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</si>
  <si>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</si>
  <si>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</si>
  <si>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</si>
  <si>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</si>
  <si>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</si>
  <si>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</si>
  <si>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</si>
  <si>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</si>
  <si>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</si>
  <si>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</si>
  <si>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</si>
  <si>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</si>
  <si>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</si>
  <si>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</si>
  <si>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</si>
  <si>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</si>
  <si>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</si>
  <si>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</si>
  <si>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</si>
  <si>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</si>
  <si>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</si>
  <si>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</si>
  <si>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</si>
  <si>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</si>
  <si>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</si>
  <si>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</si>
  <si>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</si>
  <si>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</si>
  <si>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</si>
  <si>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</si>
  <si>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</si>
  <si>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</si>
  <si>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</si>
  <si>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</si>
  <si>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</si>
  <si>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</si>
  <si>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</si>
  <si>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</si>
  <si>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</si>
  <si>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</si>
  <si>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</si>
  <si>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</si>
  <si>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</si>
  <si>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</si>
  <si>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</si>
  <si>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</si>
  <si>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</si>
  <si>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</si>
  <si>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</si>
  <si>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</si>
  <si>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</si>
  <si>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</si>
  <si>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</si>
  <si>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</si>
  <si>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</si>
  <si>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</si>
  <si>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</si>
  <si>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</si>
  <si>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</si>
  <si>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</si>
  <si>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</si>
  <si>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</si>
  <si>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</si>
  <si>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</si>
  <si>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</si>
  <si>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</si>
  <si>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</si>
  <si>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</si>
  <si>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</si>
  <si>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</si>
  <si>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</si>
  <si>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</si>
  <si>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</si>
  <si>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</si>
  <si>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</si>
  <si>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</si>
  <si>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</si>
  <si>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</si>
  <si>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</si>
  <si>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</si>
  <si>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</si>
  <si>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</si>
  <si>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</si>
  <si>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</si>
  <si>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</si>
  <si>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</si>
  <si>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</si>
  <si>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</si>
  <si>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</si>
  <si>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</si>
  <si>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</si>
  <si>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</si>
  <si>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</si>
  <si>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</si>
  <si>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</si>
  <si>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</si>
  <si>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</si>
  <si>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</si>
  <si>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</si>
  <si>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</si>
  <si>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</si>
  <si>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</si>
  <si>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</si>
  <si>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</si>
  <si>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</si>
  <si>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</si>
  <si>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</si>
  <si>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</si>
  <si>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</si>
  <si>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</si>
  <si>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</si>
  <si>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</si>
  <si>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</si>
  <si>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</si>
  <si>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</si>
  <si>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</si>
  <si>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</si>
  <si>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</si>
  <si>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</si>
  <si>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</si>
  <si>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</si>
  <si>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</si>
  <si>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</si>
  <si>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</si>
  <si>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</si>
  <si>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</si>
  <si>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</si>
  <si>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</si>
  <si>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</si>
  <si>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</si>
  <si>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</si>
  <si>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</si>
  <si>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</si>
  <si>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</si>
  <si>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</si>
  <si>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</si>
  <si>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</si>
  <si>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</si>
  <si>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</si>
  <si>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</si>
  <si>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</si>
  <si>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</si>
  <si>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</si>
  <si>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</si>
  <si>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</si>
  <si>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</si>
  <si>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</si>
  <si>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</si>
  <si>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</si>
  <si>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</si>
  <si>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</si>
  <si>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</si>
  <si>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</si>
  <si>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</si>
  <si>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</si>
  <si>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</si>
  <si>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</si>
  <si>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</si>
  <si>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</si>
  <si>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</si>
  <si>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</si>
  <si>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</si>
  <si>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</si>
  <si>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</si>
  <si>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</si>
  <si>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</si>
  <si>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</si>
  <si>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</si>
  <si>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</si>
  <si>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</si>
  <si>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</si>
  <si>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</si>
  <si>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</si>
  <si>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</si>
  <si>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</si>
  <si>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</si>
  <si>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</si>
  <si>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</si>
  <si>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</si>
  <si>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</si>
  <si>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</si>
  <si>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</si>
  <si>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</si>
  <si>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</si>
  <si>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</si>
  <si>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</si>
  <si>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</si>
  <si>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</si>
  <si>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</si>
  <si>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</si>
  <si>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</si>
  <si>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</si>
  <si>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</si>
  <si>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</si>
  <si>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</si>
  <si>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</si>
  <si>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</si>
  <si>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</si>
  <si>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</si>
  <si>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</si>
  <si>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</si>
  <si>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</si>
  <si>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</si>
  <si>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</si>
  <si>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</si>
  <si>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</si>
  <si>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</si>
  <si>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</si>
  <si>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</si>
  <si>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</si>
  <si>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</si>
  <si>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</si>
  <si>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</si>
  <si>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</si>
  <si>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</si>
  <si>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</si>
  <si>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</si>
  <si>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</si>
  <si>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</si>
  <si>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</si>
  <si>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</si>
  <si>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</si>
  <si>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</si>
  <si>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</si>
  <si>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</si>
  <si>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</si>
  <si>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</si>
  <si>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</si>
  <si>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</si>
  <si>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</si>
  <si>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</si>
  <si>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</si>
  <si>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</si>
  <si>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</si>
  <si>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</si>
  <si>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</si>
  <si>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</si>
  <si>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</si>
  <si>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</si>
  <si>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</si>
  <si>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</si>
  <si>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</si>
  <si>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</si>
  <si>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</si>
  <si>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</si>
  <si>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</si>
  <si>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</si>
  <si>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</si>
  <si>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</si>
  <si>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</si>
  <si>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</si>
  <si>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</si>
  <si>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</si>
  <si>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</si>
  <si>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</si>
  <si>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</si>
  <si>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</si>
  <si>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</si>
  <si>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</si>
  <si>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</si>
  <si>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</si>
  <si>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</si>
  <si>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</si>
  <si>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</si>
  <si>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</si>
  <si>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</si>
  <si>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</si>
  <si>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</si>
  <si>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</si>
  <si>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</si>
  <si>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</si>
  <si>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</si>
  <si>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</si>
  <si>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</si>
  <si>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</si>
  <si>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</si>
  <si>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</si>
  <si>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</si>
  <si>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</si>
  <si>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</si>
  <si>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</si>
  <si>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</si>
  <si>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</si>
  <si>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</si>
  <si>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</si>
  <si>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</si>
  <si>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</si>
  <si>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</si>
  <si>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</si>
  <si>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</si>
  <si>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</si>
  <si>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</si>
  <si>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</si>
  <si>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</si>
  <si>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</si>
  <si>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</si>
  <si>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</si>
  <si>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</si>
  <si>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</si>
  <si>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</si>
  <si>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</si>
  <si>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</si>
  <si>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</si>
  <si>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</si>
  <si>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</si>
  <si>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</si>
  <si>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</si>
  <si>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</si>
  <si>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</si>
  <si>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</si>
  <si>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</si>
  <si>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</si>
  <si>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</si>
  <si>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</si>
  <si>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</si>
  <si>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</si>
  <si>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</si>
  <si>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</si>
  <si>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</si>
  <si>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</si>
  <si>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</si>
  <si>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</si>
  <si>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</si>
  <si>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</si>
  <si>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</si>
  <si>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</si>
  <si>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</si>
  <si>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</si>
  <si>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</si>
  <si>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</si>
  <si>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</si>
  <si>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</si>
  <si>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</si>
  <si>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</si>
  <si>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</si>
  <si>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</si>
  <si>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</si>
  <si>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</si>
  <si>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</si>
  <si>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</si>
  <si>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</si>
  <si>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</si>
  <si>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</si>
  <si>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</si>
  <si>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</si>
  <si>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</si>
  <si>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</si>
  <si>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</si>
  <si>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</si>
  <si>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</si>
  <si>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</si>
  <si>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</si>
  <si>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</si>
  <si>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</si>
  <si>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</si>
  <si>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</si>
  <si>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</si>
  <si>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</si>
  <si>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</si>
  <si>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</si>
  <si>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</si>
  <si>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</si>
  <si>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</si>
  <si>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</si>
  <si>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</si>
  <si>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</si>
  <si>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</si>
  <si>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</si>
  <si>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</si>
  <si>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</si>
  <si>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</si>
  <si>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</si>
  <si>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</si>
  <si>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</si>
  <si>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</si>
  <si>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</si>
  <si>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</si>
  <si>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</si>
  <si>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</si>
  <si>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</si>
  <si>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</si>
  <si>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</si>
  <si>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</si>
  <si>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</si>
  <si>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</si>
  <si>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</si>
  <si>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</si>
  <si>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</si>
  <si>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</si>
  <si>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</si>
  <si>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</si>
  <si>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</si>
  <si>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</si>
  <si>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</si>
  <si>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</si>
  <si>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</si>
  <si>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</si>
  <si>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</si>
  <si>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</si>
  <si>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</si>
  <si>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</si>
  <si>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</si>
  <si>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</si>
  <si>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</si>
  <si>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</si>
  <si>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</si>
  <si>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</si>
  <si>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</si>
  <si>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</si>
  <si>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</si>
  <si>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</si>
  <si>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</si>
  <si>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</si>
  <si>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</si>
  <si>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</si>
  <si>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</si>
  <si>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</si>
  <si>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</si>
  <si>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</si>
  <si>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</si>
  <si>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</si>
  <si>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</si>
  <si>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</si>
  <si>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</si>
  <si>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</si>
  <si>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</si>
  <si>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</si>
  <si>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</si>
  <si>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</si>
  <si>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</si>
  <si>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</si>
  <si>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</si>
  <si>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</si>
  <si>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</si>
  <si>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</si>
  <si>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</si>
  <si>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</si>
  <si>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</si>
  <si>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</si>
  <si>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</si>
  <si>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</si>
  <si>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</si>
  <si>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</si>
  <si>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</si>
  <si>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</si>
  <si>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</si>
  <si>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</si>
  <si>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</si>
  <si>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</si>
  <si>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</si>
  <si>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</si>
  <si>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</si>
  <si>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</si>
  <si>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</si>
  <si>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</si>
  <si>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</si>
  <si>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</si>
  <si>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</si>
  <si>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</si>
  <si>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</si>
  <si>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</si>
  <si>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</si>
  <si>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</si>
  <si>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</si>
  <si>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</si>
  <si>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</si>
  <si>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</si>
  <si>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</si>
  <si>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</si>
  <si>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</si>
  <si>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</si>
  <si>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</si>
  <si>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</si>
  <si>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</si>
  <si>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</si>
  <si>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</si>
  <si>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</si>
  <si>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</si>
  <si>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</si>
  <si>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</si>
  <si>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</si>
  <si>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</si>
  <si>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</si>
  <si>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</si>
  <si>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</si>
  <si>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</si>
  <si>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</si>
  <si>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</si>
  <si>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</si>
  <si>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</si>
  <si>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</si>
  <si>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</si>
  <si>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</si>
  <si>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</si>
  <si>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</si>
  <si>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</si>
  <si>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</si>
  <si>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</si>
  <si>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</si>
  <si>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</si>
  <si>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</si>
  <si>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</si>
  <si>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</si>
  <si>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</si>
  <si>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</si>
  <si>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</si>
  <si>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</si>
  <si>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</si>
  <si>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</si>
  <si>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</si>
  <si>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</si>
  <si>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</si>
  <si>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</si>
  <si>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</si>
  <si>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</si>
  <si>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</si>
  <si>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</si>
  <si>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</si>
  <si>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</si>
  <si>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</si>
  <si>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</si>
  <si>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</si>
  <si>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</si>
  <si>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</si>
  <si>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</si>
  <si>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</si>
  <si>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</si>
  <si>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</si>
  <si>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</si>
  <si>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</si>
  <si>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</si>
  <si>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</si>
  <si>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</si>
  <si>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</si>
  <si>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</si>
  <si>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</si>
  <si>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</si>
  <si>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</si>
  <si>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</si>
  <si>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</si>
  <si>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</si>
  <si>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</si>
  <si>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</si>
  <si>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</si>
  <si>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</si>
  <si>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</si>
  <si>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</si>
  <si>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</si>
  <si>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</si>
  <si>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</si>
  <si>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</si>
  <si>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</si>
  <si>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</si>
  <si>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</si>
  <si>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</si>
  <si>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</si>
  <si>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</si>
  <si>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</si>
  <si>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</si>
  <si>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</si>
  <si>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</si>
  <si>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</si>
  <si>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</si>
  <si>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</si>
  <si>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</si>
  <si>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</si>
  <si>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</si>
  <si>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</si>
  <si>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</si>
  <si>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</si>
  <si>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</si>
  <si>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</si>
  <si>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</si>
  <si>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</si>
  <si>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</si>
  <si>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</si>
  <si>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</si>
  <si>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</si>
  <si>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</si>
  <si>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</si>
  <si>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</si>
  <si>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</si>
  <si>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</si>
  <si>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</si>
  <si>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</si>
  <si>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</si>
  <si>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</si>
  <si>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</si>
  <si>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</si>
  <si>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</si>
  <si>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</si>
  <si>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</si>
  <si>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</si>
  <si>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</si>
  <si>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</si>
  <si>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</si>
  <si>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</si>
  <si>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</si>
  <si>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</si>
  <si>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</si>
  <si>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</si>
  <si>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</si>
  <si>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</si>
  <si>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</si>
  <si>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</si>
  <si>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</si>
  <si>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</si>
  <si>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</si>
  <si>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</si>
  <si>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</si>
  <si>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</si>
  <si>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</si>
  <si>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</si>
  <si>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</si>
  <si>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</si>
  <si>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</si>
  <si>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</si>
  <si>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</si>
  <si>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</si>
  <si>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</si>
  <si>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</si>
  <si>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</si>
  <si>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</si>
  <si>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</si>
  <si>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</si>
  <si>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</si>
  <si>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</si>
  <si>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</si>
  <si>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</si>
  <si>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</si>
  <si>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</si>
  <si>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</si>
  <si>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</si>
  <si>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</si>
  <si>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</si>
  <si>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</si>
  <si>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</si>
  <si>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</si>
  <si>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</si>
  <si>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</si>
  <si>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</si>
  <si>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</si>
  <si>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</si>
  <si>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</si>
  <si>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</si>
  <si>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</si>
  <si>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</si>
  <si>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</si>
  <si>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</si>
  <si>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</si>
  <si>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</si>
  <si>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</si>
  <si>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</si>
  <si>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</si>
  <si>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</si>
  <si>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</si>
  <si>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</si>
  <si>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</si>
  <si>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</si>
  <si>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</si>
  <si>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</si>
  <si>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</si>
  <si>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</si>
  <si>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</si>
  <si>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</si>
  <si>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</si>
  <si>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</si>
  <si>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</si>
  <si>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</si>
  <si>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</si>
  <si>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</si>
  <si>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</si>
  <si>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</si>
  <si>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</si>
  <si>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</si>
  <si>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</si>
  <si>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</si>
  <si>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</si>
  <si>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</si>
  <si>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</si>
  <si>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</si>
  <si>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</si>
  <si>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</si>
  <si>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</si>
  <si>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</si>
  <si>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</si>
  <si>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</si>
  <si>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</si>
  <si>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</si>
  <si>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</si>
  <si>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</si>
  <si>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</si>
  <si>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</si>
  <si>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</si>
  <si>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</si>
  <si>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</si>
  <si>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</si>
  <si>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</si>
  <si>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</si>
  <si>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</si>
  <si>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</si>
  <si>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</si>
  <si>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</si>
  <si>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</si>
  <si>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</si>
  <si>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</si>
  <si>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</si>
  <si>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</si>
  <si>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</si>
  <si>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</si>
  <si>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</si>
  <si>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</si>
  <si>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</si>
  <si>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</si>
  <si>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</si>
  <si>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</si>
  <si>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</si>
  <si>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</si>
  <si>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</si>
  <si>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</si>
  <si>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</si>
  <si>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</si>
  <si>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</si>
  <si>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</si>
  <si>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</si>
  <si>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</si>
  <si>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</si>
  <si>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</si>
  <si>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</si>
  <si>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</si>
  <si>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</si>
  <si>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</si>
  <si>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</si>
  <si>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</si>
  <si>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</si>
  <si>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</si>
  <si>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</si>
  <si>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</si>
  <si>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</si>
  <si>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</si>
  <si>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</si>
  <si>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</si>
  <si>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</si>
  <si>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</si>
  <si>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</si>
  <si>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</si>
  <si>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</si>
  <si>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</si>
  <si>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</si>
  <si>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</si>
  <si>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</si>
  <si>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</si>
  <si>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</si>
  <si>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</si>
  <si>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</si>
  <si>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</si>
  <si>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</si>
  <si>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</si>
  <si>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</si>
  <si>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</si>
  <si>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</si>
  <si>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</si>
  <si>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</si>
  <si>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</si>
  <si>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</si>
  <si>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</si>
  <si>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</si>
  <si>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</si>
  <si>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</si>
  <si>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</si>
  <si>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</si>
  <si>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</si>
  <si>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</si>
  <si>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</si>
  <si>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</si>
  <si>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</si>
  <si>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</si>
  <si>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</si>
  <si>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</si>
  <si>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</si>
  <si>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</si>
  <si>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</si>
  <si>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</si>
  <si>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</si>
  <si>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</si>
  <si>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</si>
  <si>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</si>
  <si>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</si>
  <si>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</si>
  <si>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</si>
  <si>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</si>
  <si>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</si>
  <si>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</si>
  <si>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</si>
  <si>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</si>
  <si>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</si>
  <si>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</si>
  <si>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</si>
  <si>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</si>
  <si>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</si>
  <si>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</si>
  <si>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</si>
  <si>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</si>
  <si>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</si>
  <si>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</si>
  <si>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</si>
  <si>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</si>
  <si>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</si>
  <si>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</si>
  <si>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</si>
  <si>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</si>
  <si>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</si>
  <si>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</si>
  <si>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</si>
  <si>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</si>
  <si>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</si>
  <si>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</si>
  <si>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</si>
  <si>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</si>
  <si>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</si>
  <si>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</si>
  <si>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</si>
  <si>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</si>
  <si>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</si>
  <si>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</si>
  <si>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</si>
  <si>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</si>
  <si>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</si>
  <si>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</si>
  <si>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</si>
  <si>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</si>
  <si>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</si>
  <si>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</si>
  <si>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</si>
  <si>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</si>
  <si>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</si>
  <si>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</si>
  <si>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</si>
  <si>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</si>
  <si>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</si>
  <si>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</si>
  <si>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</si>
  <si>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</si>
  <si>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</si>
  <si>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</si>
  <si>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</si>
  <si>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</si>
  <si>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</si>
  <si>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</si>
  <si>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</si>
  <si>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</si>
  <si>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</si>
  <si>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</si>
  <si>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</si>
  <si>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</si>
  <si>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</si>
  <si>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</si>
  <si>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</si>
  <si>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</si>
  <si>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</si>
  <si>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</si>
  <si>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</si>
  <si>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</si>
  <si>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</si>
  <si>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</si>
  <si>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</si>
  <si>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</si>
  <si>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</si>
  <si>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</si>
  <si>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</si>
  <si>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</si>
  <si>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</si>
  <si>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</si>
  <si>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</si>
  <si>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</si>
  <si>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</si>
  <si>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</si>
  <si>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</si>
  <si>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</si>
  <si>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</si>
  <si>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</si>
  <si>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</si>
  <si>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</si>
  <si>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</si>
  <si>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</si>
  <si>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</si>
  <si>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</si>
  <si>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</si>
  <si>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</si>
  <si>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</si>
  <si>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</si>
  <si>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</si>
  <si>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</si>
  <si>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</si>
  <si>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</si>
  <si>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</si>
  <si>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</si>
  <si>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</si>
  <si>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</si>
  <si>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</si>
  <si>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</si>
  <si>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</si>
  <si>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</si>
  <si>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</si>
  <si>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</si>
  <si>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</si>
  <si>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</si>
  <si>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</si>
  <si>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</si>
  <si>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</si>
  <si>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</si>
  <si>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</si>
  <si>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</si>
  <si>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</si>
  <si>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</si>
  <si>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</si>
  <si>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</si>
  <si>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</si>
  <si>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</si>
  <si>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</si>
  <si>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</si>
  <si>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</si>
  <si>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</si>
  <si>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</si>
  <si>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</si>
  <si>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</si>
  <si>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</si>
  <si>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</si>
  <si>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</si>
  <si>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</si>
  <si>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</si>
  <si>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</si>
  <si>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</si>
  <si>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</si>
  <si>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</si>
  <si>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</si>
  <si>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</si>
  <si>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</si>
  <si>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</si>
  <si>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</si>
  <si>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</si>
  <si>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</si>
  <si>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</si>
  <si>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</si>
  <si>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</si>
  <si>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</si>
  <si>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</si>
  <si>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</si>
  <si>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</si>
  <si>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</si>
  <si>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</si>
  <si>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</si>
  <si>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</si>
  <si>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</si>
  <si>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</si>
  <si>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</si>
  <si>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</si>
  <si>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</si>
  <si>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</si>
  <si>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</si>
  <si>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</si>
  <si>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</si>
  <si>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</si>
  <si>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</si>
  <si>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</si>
  <si>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</si>
  <si>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</si>
  <si>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</si>
  <si>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</si>
  <si>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</si>
  <si>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</si>
  <si>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</si>
  <si>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</si>
  <si>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</si>
  <si>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</si>
  <si>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</si>
  <si>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</si>
  <si>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</si>
  <si>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</si>
  <si>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</si>
  <si>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</si>
  <si>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</si>
  <si>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</si>
  <si>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</si>
  <si>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</si>
  <si>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</si>
  <si>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</si>
  <si>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</si>
  <si>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</si>
  <si>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</si>
  <si>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</si>
  <si>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</si>
  <si>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</si>
  <si>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</si>
  <si>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</si>
  <si>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</si>
  <si>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</si>
  <si>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</si>
  <si>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</si>
  <si>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</si>
  <si>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</si>
  <si>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</si>
  <si>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</si>
  <si>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</si>
  <si>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</si>
  <si>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</si>
  <si>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</si>
  <si>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</si>
  <si>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</si>
  <si>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</si>
  <si>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</si>
  <si>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</si>
  <si>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</si>
  <si>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</si>
  <si>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</si>
  <si>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</si>
  <si>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</si>
  <si>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</si>
  <si>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</si>
  <si>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</si>
  <si>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</si>
  <si>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</si>
  <si>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</si>
  <si>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</si>
  <si>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</si>
  <si>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</si>
  <si>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</si>
  <si>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</si>
  <si>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</si>
  <si>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</si>
  <si>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</si>
  <si>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</si>
  <si>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</si>
  <si>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</si>
  <si>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</si>
  <si>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</si>
  <si>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</si>
  <si>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</si>
  <si>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</si>
  <si>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</si>
  <si>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</si>
  <si>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</si>
  <si>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</si>
  <si>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</si>
  <si>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</si>
  <si>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</si>
  <si>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</si>
  <si>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</si>
  <si>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</si>
  <si>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</si>
  <si>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</si>
  <si>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</si>
  <si>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</si>
  <si>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</si>
  <si>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</si>
  <si>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</si>
  <si>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</si>
  <si>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</si>
  <si>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</si>
  <si>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</si>
  <si>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</si>
  <si>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</si>
  <si>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</si>
  <si>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</si>
  <si>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</si>
  <si>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</si>
  <si>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</si>
  <si>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</si>
  <si>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</si>
  <si>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</si>
  <si>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</si>
  <si>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</si>
  <si>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</si>
  <si>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</si>
  <si>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</si>
  <si>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</si>
  <si>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</si>
  <si>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</si>
  <si>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</si>
  <si>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</si>
  <si>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</si>
  <si>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</si>
  <si>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</si>
  <si>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</si>
  <si>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</si>
  <si>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</si>
  <si>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</si>
  <si>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</si>
  <si>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</si>
  <si>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</si>
  <si>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</si>
  <si>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</si>
  <si>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</si>
  <si>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</si>
  <si>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</si>
  <si>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</si>
  <si>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</si>
  <si>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</si>
  <si>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</si>
  <si>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</si>
  <si>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</si>
  <si>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</si>
  <si>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</si>
  <si>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</si>
  <si>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</si>
  <si>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</si>
  <si>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</si>
  <si>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</si>
  <si>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</si>
  <si>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</si>
  <si>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</si>
  <si>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</si>
  <si>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</si>
  <si>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</si>
  <si>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</si>
  <si>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</si>
  <si>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</si>
  <si>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</si>
  <si>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</si>
  <si>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</si>
  <si>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</si>
  <si>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</si>
  <si>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</si>
  <si>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</si>
  <si>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</si>
  <si>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</si>
  <si>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</si>
  <si>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</si>
  <si>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</si>
  <si>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</si>
  <si>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</si>
  <si>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</si>
  <si>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</si>
  <si>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</si>
  <si>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</si>
  <si>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</si>
  <si>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</si>
  <si>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</si>
  <si>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</si>
  <si>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</si>
  <si>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</si>
  <si>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</si>
  <si>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</si>
  <si>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</si>
  <si>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</si>
  <si>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</si>
  <si>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</si>
  <si>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</si>
  <si>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</si>
  <si>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</si>
  <si>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</si>
  <si>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</si>
  <si>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</si>
  <si>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</si>
  <si>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</si>
  <si>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</si>
  <si>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</si>
  <si>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</si>
  <si>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</si>
  <si>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</si>
  <si>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</si>
  <si>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</si>
  <si>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</si>
  <si>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</si>
  <si>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</si>
  <si>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</si>
  <si>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</si>
  <si>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</si>
  <si>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</si>
  <si>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</si>
  <si>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</si>
  <si>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</si>
  <si>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</si>
  <si>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</si>
  <si>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</si>
  <si>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</si>
  <si>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</si>
  <si>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</si>
  <si>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</si>
  <si>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</si>
  <si>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</si>
  <si>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</si>
  <si>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</si>
  <si>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</si>
  <si>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</si>
  <si>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</si>
  <si>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</si>
  <si>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</si>
  <si>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</si>
  <si>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</si>
  <si>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</si>
  <si>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</si>
  <si>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</si>
  <si>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</si>
  <si>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</si>
  <si>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</si>
  <si>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</si>
  <si>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</si>
  <si>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</si>
  <si>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</si>
  <si>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</si>
  <si>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</si>
  <si>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</si>
  <si>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</si>
  <si>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</si>
  <si>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</si>
  <si>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</si>
  <si>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</si>
  <si>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</si>
  <si>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</si>
  <si>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</si>
  <si>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</si>
  <si>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</si>
  <si>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</si>
  <si>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</si>
  <si>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</si>
  <si>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</si>
  <si>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</si>
  <si>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</si>
  <si>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</si>
  <si>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</si>
  <si>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</si>
  <si>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</si>
  <si>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</si>
  <si>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</si>
  <si>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</si>
  <si>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</si>
  <si>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</si>
  <si>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</si>
  <si>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</si>
  <si>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</si>
  <si>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</si>
  <si>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</si>
  <si>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</si>
  <si>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</si>
  <si>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</si>
  <si>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</si>
  <si>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</si>
  <si>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</si>
  <si>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</si>
  <si>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</si>
  <si>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</si>
  <si>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</si>
  <si>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</si>
  <si>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</si>
  <si>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</si>
  <si>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</si>
  <si>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</si>
  <si>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</si>
  <si>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</si>
  <si>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</si>
  <si>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</si>
  <si>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</si>
  <si>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</si>
  <si>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</si>
  <si>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</si>
  <si>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</si>
  <si>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</si>
  <si>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</si>
  <si>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</si>
  <si>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</si>
  <si>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</si>
  <si>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</si>
  <si>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</si>
  <si>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</si>
  <si>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</si>
  <si>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</si>
  <si>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</si>
  <si>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</si>
  <si>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</si>
  <si>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</si>
  <si>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</si>
  <si>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</si>
  <si>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</si>
  <si>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</si>
  <si>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</si>
  <si>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</si>
  <si>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</si>
  <si>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</si>
  <si>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</si>
  <si>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</si>
  <si>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</si>
  <si>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</si>
  <si>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</si>
  <si>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</si>
  <si>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</si>
  <si>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</si>
  <si>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</si>
  <si>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</si>
  <si>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</si>
  <si>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</si>
  <si>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</si>
  <si>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</si>
  <si>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</si>
  <si>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</si>
  <si>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</si>
  <si>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</si>
  <si>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</si>
  <si>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</si>
  <si>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</si>
  <si>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</si>
  <si>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</si>
  <si>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</si>
  <si>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</si>
  <si>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</si>
  <si>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</si>
  <si>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</si>
  <si>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</si>
  <si>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</si>
  <si>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</si>
  <si>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</si>
  <si>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</si>
  <si>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</si>
  <si>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</si>
  <si>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</si>
  <si>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</si>
  <si>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</si>
  <si>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</si>
  <si>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</si>
  <si>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</si>
  <si>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</si>
  <si>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</si>
  <si>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</si>
  <si>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</si>
  <si>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</si>
  <si>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</si>
  <si>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</si>
  <si>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</si>
  <si>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</si>
  <si>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</si>
  <si>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</si>
  <si>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</si>
  <si>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</si>
  <si>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</si>
  <si>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</si>
  <si>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</si>
  <si>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</si>
  <si>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</si>
  <si>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</si>
  <si>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</si>
  <si>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</si>
  <si>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</si>
  <si>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</si>
  <si>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</si>
  <si>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</si>
  <si>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</si>
  <si>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</si>
  <si>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</si>
  <si>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</si>
  <si>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</si>
  <si>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</si>
  <si>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</si>
  <si>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</si>
  <si>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</si>
  <si>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</si>
  <si>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</si>
  <si>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</si>
  <si>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</si>
  <si>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</si>
  <si>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</si>
  <si>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</si>
  <si>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</si>
  <si>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</si>
  <si>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</si>
  <si>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</si>
  <si>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</si>
  <si>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</si>
  <si>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</si>
  <si>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</si>
  <si>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</si>
  <si>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</si>
  <si>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</si>
  <si>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</si>
  <si>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</si>
  <si>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</si>
  <si>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</si>
  <si>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</si>
  <si>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</si>
  <si>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</si>
  <si>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</si>
  <si>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</si>
  <si>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</si>
  <si>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</si>
  <si>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</si>
  <si>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</si>
  <si>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</si>
  <si>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</si>
  <si>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</si>
  <si>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</si>
  <si>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</si>
  <si>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</si>
  <si>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</si>
  <si>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</si>
  <si>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</si>
  <si>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</si>
  <si>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</si>
  <si>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</si>
  <si>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</si>
  <si>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</si>
  <si>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</si>
  <si>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</si>
  <si>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</si>
  <si>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</si>
  <si>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</si>
  <si>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</si>
  <si>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</si>
  <si>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</si>
  <si>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</si>
  <si>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</si>
  <si>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</si>
  <si>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</si>
  <si>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</si>
  <si>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</si>
  <si>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</si>
  <si>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</si>
  <si>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</si>
  <si>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</si>
  <si>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</si>
  <si>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</si>
  <si>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</si>
  <si>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</si>
  <si>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</si>
  <si>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</si>
  <si>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</si>
  <si>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</si>
  <si>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</si>
  <si>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</si>
  <si>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</si>
  <si>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</si>
  <si>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</si>
  <si>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</si>
  <si>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</si>
  <si>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</si>
  <si>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</si>
  <si>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</si>
  <si>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</si>
  <si>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</si>
  <si>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</si>
  <si>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</si>
  <si>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</si>
  <si>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</si>
  <si>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</si>
  <si>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</si>
  <si>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</si>
  <si>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</si>
  <si>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</si>
  <si>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</si>
  <si>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</si>
  <si>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</si>
  <si>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</si>
  <si>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</si>
  <si>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</si>
  <si>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</si>
  <si>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</si>
  <si>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</si>
  <si>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</si>
  <si>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</si>
  <si>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</si>
  <si>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</si>
  <si>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</si>
  <si>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</si>
  <si>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</si>
  <si>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</si>
  <si>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</si>
  <si>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</si>
  <si>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</si>
  <si>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</si>
  <si>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</si>
  <si>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</si>
  <si>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</si>
  <si>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</si>
  <si>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</si>
  <si>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</si>
  <si>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</si>
  <si>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</si>
  <si>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</si>
  <si>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</si>
  <si>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</si>
  <si>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</si>
  <si>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</si>
  <si>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</si>
  <si>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</si>
  <si>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</si>
  <si>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</si>
  <si>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</si>
  <si>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</si>
  <si>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</si>
  <si>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</si>
  <si>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</si>
  <si>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</si>
  <si>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</si>
  <si>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</si>
  <si>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</si>
  <si>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</si>
  <si>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</si>
  <si>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</si>
  <si>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</si>
  <si>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</si>
  <si>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</si>
  <si>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</si>
  <si>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</si>
  <si>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</si>
  <si>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</si>
  <si>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</si>
  <si>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</si>
  <si>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</si>
  <si>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</si>
  <si>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</si>
  <si>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</si>
  <si>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</si>
  <si>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</si>
  <si>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</si>
  <si>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</si>
  <si>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</si>
  <si>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</si>
  <si>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</si>
  <si>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</si>
  <si>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</si>
  <si>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</si>
  <si>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</si>
  <si>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</si>
  <si>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</si>
  <si>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</si>
  <si>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</si>
  <si>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</si>
  <si>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</si>
  <si>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</si>
  <si>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</si>
  <si>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</si>
  <si>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</si>
  <si>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</si>
  <si>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</si>
  <si>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</si>
  <si>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</si>
  <si>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</si>
  <si>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</si>
  <si>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</si>
  <si>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</si>
  <si>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</si>
  <si>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</si>
  <si>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</si>
  <si>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</si>
  <si>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</si>
  <si>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</si>
  <si>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</si>
  <si>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</si>
  <si>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</si>
  <si>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</si>
  <si>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</si>
  <si>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</si>
  <si>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</si>
  <si>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</si>
  <si>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</si>
  <si>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</si>
  <si>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</si>
  <si>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</si>
  <si>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</si>
  <si>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</si>
  <si>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</si>
  <si>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</si>
  <si>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</si>
  <si>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</si>
  <si>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</si>
  <si>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</si>
  <si>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</si>
  <si>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</si>
  <si>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</si>
  <si>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</si>
  <si>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</si>
  <si>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</si>
  <si>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</si>
  <si>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</si>
  <si>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</si>
  <si>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</si>
  <si>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</si>
  <si>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</si>
  <si>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</si>
  <si>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</si>
  <si>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</si>
  <si>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</si>
  <si>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</si>
  <si>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</si>
  <si>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</si>
  <si>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</si>
  <si>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</si>
  <si>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</si>
  <si>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</si>
  <si>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</si>
  <si>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</si>
  <si>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</si>
  <si>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</si>
  <si>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</si>
  <si>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</si>
  <si>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</si>
  <si>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</si>
  <si>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</si>
  <si>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</si>
  <si>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</si>
  <si>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</si>
  <si>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</si>
  <si>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</si>
  <si>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</si>
  <si>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</si>
  <si>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</si>
  <si>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</si>
  <si>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</si>
  <si>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</si>
  <si>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</si>
  <si>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</si>
  <si>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</si>
  <si>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</si>
  <si>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</si>
  <si>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</si>
  <si>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</si>
  <si>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</si>
  <si>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</si>
  <si>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</si>
  <si>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</si>
  <si>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</si>
  <si>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</si>
  <si>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</si>
  <si>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</si>
  <si>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</si>
  <si>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</si>
  <si>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</si>
  <si>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</si>
  <si>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</si>
  <si>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</si>
  <si>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</si>
  <si>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</si>
  <si>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</si>
  <si>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</si>
  <si>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</si>
  <si>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</si>
  <si>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</si>
  <si>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</si>
  <si>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</si>
  <si>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</si>
  <si>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</si>
  <si>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</si>
  <si>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</si>
  <si>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</si>
  <si>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</si>
  <si>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</si>
  <si>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</si>
  <si>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</si>
  <si>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</si>
  <si>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</si>
  <si>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</si>
  <si>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</si>
  <si>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</si>
  <si>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</si>
  <si>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</si>
  <si>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</si>
  <si>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</si>
  <si>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</si>
  <si>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</si>
  <si>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</si>
  <si>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</si>
  <si>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</si>
  <si>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</si>
  <si>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</si>
  <si>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</si>
  <si>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</si>
  <si>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</si>
  <si>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</si>
  <si>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</si>
  <si>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</si>
  <si>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</si>
  <si>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</si>
  <si>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</si>
  <si>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</si>
  <si>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</si>
  <si>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</si>
  <si>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</si>
  <si>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</si>
  <si>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</si>
  <si>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</si>
  <si>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</si>
  <si>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</si>
  <si>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</si>
  <si>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</si>
  <si>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</si>
  <si>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</si>
  <si>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</si>
  <si>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</si>
  <si>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</si>
  <si>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</si>
  <si>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</si>
  <si>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</si>
  <si>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</si>
  <si>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</si>
  <si>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</si>
  <si>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</si>
  <si>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</si>
  <si>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</si>
  <si>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</si>
  <si>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</si>
  <si>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</si>
  <si>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</si>
  <si>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</si>
  <si>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</si>
  <si>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</si>
  <si>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</si>
  <si>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</si>
  <si>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</si>
  <si>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</si>
  <si>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</si>
  <si>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</si>
  <si>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</si>
  <si>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</si>
  <si>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</si>
  <si>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</si>
  <si>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</si>
  <si>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</si>
  <si>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</si>
  <si>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</si>
  <si>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</si>
  <si>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</si>
  <si>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</si>
  <si>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</si>
  <si>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</si>
  <si>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</si>
  <si>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</si>
  <si>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</si>
  <si>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</si>
  <si>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</si>
  <si>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</si>
  <si>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</si>
  <si>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</si>
  <si>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</si>
  <si>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</si>
  <si>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</si>
  <si>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</si>
  <si>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</si>
  <si>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</si>
  <si>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</si>
  <si>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</si>
  <si>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</si>
  <si>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</si>
  <si>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</si>
  <si>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</si>
  <si>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</si>
  <si>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</si>
  <si>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</si>
  <si>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</si>
  <si>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</si>
  <si>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</si>
  <si>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</si>
  <si>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</si>
  <si>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</si>
  <si>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</si>
  <si>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</si>
  <si>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</si>
  <si>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</si>
  <si>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</si>
  <si>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</si>
  <si>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</si>
  <si>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</si>
  <si>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</si>
  <si>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</si>
  <si>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</si>
  <si>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</si>
  <si>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</si>
  <si>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</si>
  <si>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</si>
  <si>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</si>
  <si>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</si>
  <si>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</si>
  <si>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</si>
  <si>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</si>
  <si>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</si>
  <si>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</si>
  <si>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</si>
  <si>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</si>
  <si>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</si>
  <si>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</si>
  <si>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</si>
  <si>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</si>
  <si>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</si>
  <si>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</si>
  <si>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</si>
  <si>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</si>
  <si>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</si>
  <si>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</si>
  <si>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</si>
  <si>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</si>
  <si>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</si>
  <si>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</si>
  <si>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</si>
  <si>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</si>
  <si>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</si>
  <si>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</si>
  <si>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</si>
  <si>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</si>
  <si>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</si>
  <si>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</si>
  <si>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</si>
  <si>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</si>
  <si>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</si>
  <si>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</si>
  <si>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</si>
  <si>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</si>
  <si>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</si>
  <si>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</si>
  <si>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</si>
  <si>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</si>
  <si>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</si>
  <si>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</si>
  <si>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</si>
  <si>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</si>
  <si>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</si>
  <si>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</si>
  <si>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</si>
  <si>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</si>
  <si>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</si>
  <si>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</si>
  <si>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</si>
  <si>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</si>
  <si>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</si>
  <si>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</si>
  <si>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</si>
  <si>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</si>
  <si>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</si>
  <si>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</si>
  <si>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</si>
  <si>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</si>
  <si>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</si>
  <si>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</si>
  <si>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</si>
  <si>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</si>
  <si>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</si>
  <si>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</si>
  <si>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</si>
  <si>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</si>
  <si>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</si>
  <si>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</si>
  <si>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</si>
  <si>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</si>
  <si>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</si>
  <si>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</si>
  <si>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</si>
  <si>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</si>
  <si>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</si>
  <si>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</si>
  <si>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</si>
  <si>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</si>
  <si>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</si>
  <si>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</si>
  <si>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</si>
  <si>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</si>
  <si>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</si>
  <si>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</si>
  <si>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</si>
  <si>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</si>
  <si>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</si>
  <si>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</si>
  <si>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</si>
  <si>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</si>
  <si>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</si>
  <si>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</si>
  <si>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</si>
  <si>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</si>
  <si>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</si>
  <si>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</si>
  <si>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</si>
  <si>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</si>
  <si>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</si>
  <si>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</si>
  <si>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</si>
  <si>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</si>
  <si>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</si>
  <si>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</si>
  <si>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</si>
  <si>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</si>
  <si>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</si>
  <si>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</si>
  <si>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</si>
  <si>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</si>
  <si>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</si>
  <si>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</si>
  <si>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</si>
  <si>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</si>
  <si>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</si>
  <si>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</si>
  <si>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</si>
  <si>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</si>
  <si>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</si>
  <si>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</si>
  <si>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</si>
  <si>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</si>
  <si>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</si>
  <si>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</si>
  <si>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</si>
  <si>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</si>
  <si>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</si>
  <si>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</si>
  <si>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</si>
  <si>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</si>
  <si>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</si>
  <si>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</si>
  <si>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</si>
  <si>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</si>
  <si>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</si>
  <si>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</si>
  <si>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</si>
  <si>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</si>
  <si>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</si>
  <si>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</si>
  <si>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</si>
  <si>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</si>
  <si>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</si>
  <si>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</si>
  <si>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</si>
  <si>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</si>
  <si>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</si>
  <si>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</si>
  <si>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</si>
  <si>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</si>
  <si>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</si>
  <si>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</si>
  <si>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</si>
  <si>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</si>
  <si>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</si>
  <si>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</si>
  <si>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</si>
  <si>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</si>
  <si>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</si>
  <si>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</si>
  <si>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</si>
  <si>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</si>
  <si>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</si>
  <si>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</si>
  <si>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</si>
  <si>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</si>
  <si>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</si>
  <si>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</si>
  <si>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</si>
  <si>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</si>
  <si>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</si>
  <si>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</si>
  <si>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</si>
  <si>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</si>
  <si>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</si>
  <si>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</si>
  <si>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</si>
  <si>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</si>
  <si>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</si>
  <si>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</si>
  <si>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</si>
  <si>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</si>
  <si>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</si>
  <si>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</si>
  <si>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</si>
  <si>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</si>
  <si>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</si>
  <si>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</si>
  <si>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</si>
  <si>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</si>
  <si>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</si>
  <si>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</si>
  <si>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</si>
  <si>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</si>
  <si>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</si>
  <si>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</si>
  <si>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</si>
  <si>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</si>
  <si>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</si>
  <si>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</si>
  <si>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</si>
  <si>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</si>
  <si>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</si>
  <si>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</si>
  <si>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</si>
  <si>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</si>
  <si>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</si>
  <si>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</si>
  <si>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</si>
  <si>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</si>
  <si>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</si>
  <si>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</si>
  <si>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</si>
  <si>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</si>
  <si>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</si>
  <si>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</si>
  <si>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</si>
  <si>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</si>
  <si>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</si>
  <si>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</si>
  <si>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</si>
  <si>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</si>
  <si>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</si>
  <si>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</si>
  <si>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</si>
  <si>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</si>
  <si>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</si>
  <si>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</si>
  <si>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</si>
  <si>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</si>
  <si>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</si>
  <si>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</si>
  <si>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</si>
  <si>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</si>
  <si>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</si>
  <si>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</si>
  <si>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</si>
  <si>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</si>
  <si>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</si>
  <si>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</si>
  <si>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</si>
  <si>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</si>
  <si>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</si>
  <si>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</si>
  <si>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</si>
  <si>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</si>
  <si>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</si>
  <si>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</si>
  <si>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</si>
  <si>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</si>
  <si>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</si>
  <si>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</si>
  <si>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</si>
  <si>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</si>
  <si>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</si>
  <si>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</si>
  <si>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</si>
  <si>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</si>
  <si>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</si>
  <si>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</si>
  <si>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</si>
  <si>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</si>
  <si>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</si>
  <si>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</si>
  <si>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</si>
  <si>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</si>
  <si>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</si>
  <si>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</si>
  <si>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</si>
  <si>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</si>
  <si>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</si>
  <si>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</si>
  <si>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</si>
  <si>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</si>
  <si>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</si>
  <si>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</si>
  <si>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</si>
  <si>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</si>
  <si>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</si>
  <si>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</si>
  <si>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</si>
  <si>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</si>
  <si>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</si>
  <si>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</si>
  <si>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</si>
  <si>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</si>
  <si>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</si>
  <si>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</si>
  <si>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</si>
  <si>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</si>
  <si>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</si>
  <si>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</si>
  <si>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</si>
  <si>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</si>
  <si>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</si>
  <si>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</si>
  <si>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</si>
  <si>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</si>
  <si>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</si>
  <si>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</si>
  <si>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</si>
  <si>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</si>
  <si>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</si>
  <si>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</si>
  <si>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</si>
  <si>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</si>
  <si>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</si>
  <si>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</si>
  <si>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</si>
  <si>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</si>
  <si>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</si>
  <si>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</si>
  <si>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</si>
  <si>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</si>
  <si>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</si>
  <si>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</si>
  <si>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</si>
  <si>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</si>
  <si>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</si>
  <si>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</si>
  <si>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</si>
  <si>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</si>
  <si>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</si>
  <si>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</si>
  <si>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</si>
  <si>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</si>
  <si>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</si>
  <si>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</si>
  <si>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</si>
  <si>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</si>
  <si>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</si>
  <si>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</si>
  <si>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</si>
  <si>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</si>
  <si>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</si>
  <si>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</si>
  <si>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</si>
  <si>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</si>
  <si>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</si>
  <si>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</si>
  <si>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</si>
  <si>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</si>
  <si>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</si>
  <si>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</si>
  <si>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</si>
  <si>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</si>
  <si>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</si>
  <si>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</si>
  <si>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</si>
  <si>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</si>
  <si>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</si>
  <si>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</si>
  <si>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</si>
  <si>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</si>
  <si>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</si>
  <si>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</si>
  <si>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</si>
  <si>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</si>
  <si>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</si>
  <si>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</si>
  <si>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</si>
  <si>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</si>
  <si>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</si>
  <si>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</si>
  <si>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</si>
  <si>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</si>
  <si>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</si>
  <si>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</si>
  <si>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</si>
  <si>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</si>
  <si>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</si>
  <si>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</si>
  <si>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</si>
  <si>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</si>
  <si>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</si>
  <si>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</si>
  <si>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</si>
  <si>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</si>
  <si>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</si>
  <si>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</si>
  <si>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</si>
  <si>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</si>
  <si>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</si>
  <si>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</si>
  <si>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</si>
  <si>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</si>
  <si>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</si>
  <si>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</si>
  <si>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</si>
  <si>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</si>
  <si>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</si>
  <si>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</si>
  <si>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</si>
  <si>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</si>
  <si>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</si>
  <si>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</si>
  <si>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</si>
  <si>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</si>
  <si>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</si>
  <si>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</si>
  <si>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</si>
  <si>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</si>
  <si>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</si>
  <si>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</si>
  <si>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</si>
  <si>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</si>
  <si>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</si>
  <si>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</si>
  <si>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</si>
  <si>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</si>
  <si>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</si>
  <si>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</si>
  <si>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</si>
  <si>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</si>
  <si>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</si>
  <si>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</si>
  <si>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</si>
  <si>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</si>
  <si>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</si>
  <si>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</si>
  <si>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</si>
  <si>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</si>
  <si>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</si>
  <si>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</si>
  <si>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</si>
  <si>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</si>
  <si>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</si>
  <si>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</si>
  <si>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</si>
  <si>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</si>
  <si>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</si>
  <si>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</si>
  <si>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</si>
  <si>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</si>
  <si>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</si>
  <si>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</si>
  <si>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</si>
  <si>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</si>
  <si>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</si>
  <si>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</si>
  <si>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</si>
  <si>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</si>
  <si>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</si>
  <si>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</si>
  <si>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</si>
  <si>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</si>
  <si>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</si>
  <si>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</si>
  <si>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</si>
  <si>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</si>
  <si>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</si>
  <si>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</si>
  <si>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</si>
  <si>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</si>
  <si>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</si>
  <si>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</si>
  <si>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</si>
  <si>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</si>
  <si>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</si>
  <si>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</si>
  <si>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</si>
  <si>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</si>
  <si>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</si>
  <si>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</si>
  <si>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</si>
  <si>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</si>
  <si>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</si>
  <si>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</si>
  <si>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</si>
  <si>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</si>
  <si>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</si>
  <si>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</si>
  <si>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</si>
  <si>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</si>
  <si>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</si>
  <si>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</si>
  <si>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</si>
  <si>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</si>
  <si>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</si>
  <si>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</si>
  <si>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</si>
  <si>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</si>
  <si>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</si>
  <si>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</si>
  <si>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</si>
  <si>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</si>
  <si>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</si>
  <si>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</si>
  <si>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</si>
  <si>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</si>
  <si>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</si>
  <si>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</si>
  <si>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</si>
  <si>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</si>
  <si>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</si>
  <si>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</si>
  <si>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</si>
  <si>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</si>
  <si>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</si>
  <si>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</si>
  <si>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</si>
  <si>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</si>
  <si>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</si>
  <si>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</si>
  <si>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</si>
  <si>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</si>
  <si>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</si>
  <si>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</si>
  <si>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</si>
  <si>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</si>
  <si>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</si>
  <si>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</si>
  <si>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</si>
  <si>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</si>
  <si>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</si>
  <si>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</si>
  <si>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</si>
  <si>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</si>
  <si>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</si>
  <si>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</si>
  <si>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</si>
  <si>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</si>
  <si>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</si>
  <si>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</si>
  <si>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</si>
  <si>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</si>
  <si>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</si>
  <si>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</si>
  <si>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</si>
  <si>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</si>
  <si>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</si>
  <si>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</si>
  <si>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</si>
  <si>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</si>
  <si>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</si>
  <si>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</si>
  <si>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</si>
  <si>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</si>
  <si>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</si>
  <si>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</si>
  <si>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</si>
  <si>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</si>
  <si>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</si>
  <si>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</si>
  <si>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</si>
  <si>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</si>
  <si>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</si>
  <si>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</si>
  <si>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</si>
  <si>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</si>
  <si>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</si>
  <si>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</si>
  <si>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</si>
  <si>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</si>
  <si>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</si>
  <si>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</si>
  <si>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</si>
  <si>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</si>
  <si>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</si>
  <si>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</si>
  <si>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</si>
  <si>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</si>
  <si>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</si>
  <si>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</si>
  <si>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</si>
  <si>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</si>
  <si>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</si>
  <si>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</si>
  <si>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</si>
  <si>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</si>
  <si>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</si>
  <si>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</si>
  <si>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</si>
  <si>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</si>
  <si>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</si>
  <si>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</si>
  <si>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</si>
  <si>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</si>
  <si>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</si>
  <si>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</si>
  <si>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</si>
  <si>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</si>
  <si>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</si>
  <si>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</si>
  <si>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</si>
  <si>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</si>
  <si>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</si>
  <si>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</si>
  <si>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</si>
  <si>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</si>
  <si>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</si>
  <si>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</si>
  <si>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</si>
  <si>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</si>
  <si>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</si>
  <si>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</si>
  <si>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</si>
  <si>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</si>
  <si>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</si>
  <si>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</si>
  <si>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</si>
  <si>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</si>
  <si>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</si>
  <si>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</si>
  <si>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</si>
  <si>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</si>
  <si>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</si>
  <si>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</si>
  <si>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</si>
  <si>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</si>
  <si>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</si>
  <si>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</si>
  <si>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</si>
  <si>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</si>
  <si>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</si>
  <si>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</si>
  <si>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</si>
  <si>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</si>
  <si>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</si>
  <si>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</si>
  <si>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</si>
  <si>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</si>
  <si>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</si>
  <si>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</si>
  <si>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</si>
  <si>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</si>
  <si>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</si>
  <si>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</si>
  <si>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</si>
  <si>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</si>
  <si>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</si>
  <si>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</si>
  <si>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</si>
  <si>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</si>
  <si>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</si>
  <si>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</si>
  <si>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</si>
  <si>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</si>
  <si>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</si>
  <si>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</si>
  <si>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</si>
  <si>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</si>
  <si>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</si>
  <si>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</si>
  <si>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</si>
  <si>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</si>
  <si>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</si>
  <si>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</si>
  <si>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</si>
  <si>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</si>
  <si>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</si>
  <si>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</si>
  <si>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</si>
  <si>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</si>
  <si>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</si>
  <si>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</si>
  <si>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</si>
  <si>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</si>
  <si>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</si>
  <si>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</si>
  <si>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</si>
  <si>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</si>
  <si>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</si>
  <si>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</si>
  <si>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</si>
  <si>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</si>
  <si>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</si>
  <si>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</si>
  <si>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</si>
  <si>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</si>
  <si>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</si>
  <si>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</si>
  <si>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</si>
  <si>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</si>
  <si>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</si>
  <si>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</si>
  <si>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</si>
  <si>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</si>
  <si>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</si>
  <si>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</si>
  <si>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</si>
  <si>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</si>
  <si>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</si>
  <si>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</si>
  <si>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</si>
  <si>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</si>
  <si>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</si>
  <si>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</si>
  <si>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</si>
  <si>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</si>
  <si>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</si>
  <si>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</si>
  <si>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</si>
  <si>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</si>
  <si>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</si>
  <si>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</si>
  <si>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</si>
  <si>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</si>
  <si>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</si>
  <si>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</si>
  <si>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</si>
  <si>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</si>
  <si>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</si>
  <si>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</si>
  <si>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</si>
  <si>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</si>
  <si>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</si>
  <si>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</si>
  <si>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</si>
  <si>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</si>
  <si>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</si>
  <si>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</si>
  <si>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</si>
  <si>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</si>
  <si>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</si>
  <si>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</si>
  <si>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</si>
  <si>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</si>
  <si>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</si>
  <si>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</si>
  <si>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</si>
  <si>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</si>
  <si>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</si>
  <si>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</si>
  <si>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</si>
  <si>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</si>
  <si>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</si>
  <si>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</si>
  <si>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</si>
  <si>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</si>
  <si>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</si>
  <si>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</si>
  <si>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</si>
  <si>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</si>
  <si>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</si>
  <si>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</si>
  <si>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</si>
  <si>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</si>
  <si>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</si>
  <si>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</si>
  <si>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</si>
  <si>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</si>
  <si>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</si>
  <si>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</si>
  <si>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</si>
  <si>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</si>
  <si>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</si>
  <si>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</si>
  <si>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</si>
  <si>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</si>
  <si>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</si>
  <si>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</si>
  <si>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</si>
  <si>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</si>
  <si>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</si>
  <si>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</si>
  <si>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</si>
  <si>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</si>
  <si>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</si>
  <si>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</si>
  <si>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</si>
  <si>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</si>
  <si>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</si>
  <si>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</si>
  <si>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</si>
  <si>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</si>
  <si>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</si>
  <si>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</si>
  <si>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</si>
  <si>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</si>
  <si>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</si>
  <si>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</si>
  <si>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</si>
  <si>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</si>
  <si>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</si>
  <si>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</si>
  <si>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</si>
  <si>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</si>
  <si>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</si>
  <si>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</si>
  <si>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</si>
  <si>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</si>
  <si>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</si>
  <si>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</si>
  <si>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</si>
  <si>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</si>
  <si>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</si>
  <si>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</si>
  <si>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</si>
  <si>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</si>
  <si>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</si>
  <si>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</si>
  <si>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</si>
  <si>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</si>
  <si>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</si>
  <si>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</si>
  <si>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</si>
  <si>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</si>
  <si>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</si>
  <si>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</si>
  <si>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</si>
  <si>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</si>
  <si>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</si>
  <si>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</si>
  <si>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</si>
  <si>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</si>
  <si>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</si>
  <si>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</si>
  <si>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</si>
  <si>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</si>
  <si>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</si>
  <si>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</si>
  <si>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</si>
  <si>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</si>
  <si>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</si>
  <si>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</si>
  <si>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</si>
  <si>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</si>
  <si>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</si>
  <si>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</si>
  <si>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</si>
  <si>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</si>
  <si>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</si>
  <si>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</si>
  <si>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</si>
  <si>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</si>
  <si>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</si>
  <si>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</si>
  <si>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</si>
  <si>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</si>
  <si>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</si>
  <si>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</si>
  <si>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</si>
  <si>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</si>
  <si>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</si>
  <si>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</si>
  <si>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</si>
  <si>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</si>
  <si>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</si>
  <si>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</si>
  <si>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</si>
  <si>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</si>
  <si>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</si>
  <si>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</si>
  <si>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</si>
  <si>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</si>
  <si>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</si>
  <si>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</si>
  <si>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</si>
  <si>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</si>
  <si>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</si>
  <si>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</si>
  <si>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</si>
  <si>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</si>
  <si>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</si>
  <si>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</si>
  <si>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</si>
  <si>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</si>
  <si>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</si>
  <si>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</si>
  <si>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</si>
  <si>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</si>
  <si>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</si>
  <si>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</si>
  <si>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</si>
  <si>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</si>
  <si>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</si>
  <si>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</si>
  <si>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</si>
  <si>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</si>
  <si>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</si>
  <si>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</si>
  <si>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</si>
  <si>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</si>
  <si>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</si>
  <si>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</si>
  <si>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</si>
  <si>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</si>
  <si>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</si>
  <si>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</si>
  <si>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</si>
  <si>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</si>
  <si>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</si>
  <si>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</si>
  <si>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</si>
  <si>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</si>
  <si>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</si>
  <si>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</si>
  <si>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</si>
  <si>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</si>
  <si>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</si>
  <si>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</si>
  <si>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</si>
  <si>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</si>
  <si>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</si>
  <si>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</si>
  <si>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</si>
  <si>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</si>
  <si>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</si>
  <si>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</si>
  <si>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</si>
  <si>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</si>
  <si>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</si>
  <si>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</si>
  <si>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</si>
  <si>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</si>
  <si>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</si>
  <si>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</si>
  <si>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</si>
  <si>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</si>
  <si>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</si>
  <si>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</si>
  <si>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</si>
  <si>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</si>
  <si>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</si>
  <si>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</si>
  <si>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</si>
  <si>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</si>
  <si>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</si>
  <si>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</si>
  <si>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</si>
  <si>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</si>
  <si>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</si>
  <si>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</si>
  <si>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</si>
  <si>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</si>
  <si>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</si>
  <si>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</si>
  <si>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</si>
  <si>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</si>
  <si>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</si>
  <si>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</si>
  <si>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</si>
  <si>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</si>
  <si>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</si>
  <si>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</si>
  <si>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</si>
  <si>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</si>
  <si>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</si>
  <si>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</si>
  <si>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</si>
  <si>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</si>
  <si>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</si>
  <si>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</si>
  <si>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</si>
  <si>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</si>
  <si>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</si>
  <si>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</si>
  <si>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</si>
  <si>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</si>
  <si>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</si>
  <si>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</si>
  <si>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</si>
  <si>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</si>
  <si>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</si>
  <si>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</si>
  <si>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</si>
  <si>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</si>
  <si>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</si>
  <si>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</si>
  <si>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</si>
  <si>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</si>
  <si>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</si>
  <si>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</si>
  <si>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</si>
  <si>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</si>
  <si>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</si>
  <si>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</si>
  <si>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</si>
  <si>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</si>
  <si>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</si>
  <si>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</si>
  <si>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</si>
  <si>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</si>
  <si>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</si>
  <si>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</si>
  <si>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</si>
  <si>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</si>
  <si>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</si>
  <si>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</si>
  <si>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</si>
  <si>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</si>
  <si>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</si>
  <si>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</si>
  <si>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</si>
  <si>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</si>
  <si>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</si>
  <si>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</si>
  <si>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</si>
  <si>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</si>
  <si>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</si>
  <si>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</si>
  <si>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</si>
  <si>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</si>
  <si>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</si>
  <si>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</si>
  <si>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</si>
  <si>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</si>
  <si>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</si>
  <si>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</si>
  <si>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</si>
  <si>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</si>
  <si>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</si>
  <si>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</si>
  <si>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</si>
  <si>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</si>
  <si>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</si>
  <si>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</si>
  <si>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</si>
  <si>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</si>
  <si>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</si>
  <si>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</si>
  <si>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</si>
  <si>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</si>
  <si>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</si>
  <si>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</si>
  <si>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</si>
  <si>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</si>
  <si>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</si>
  <si>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</si>
  <si>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</si>
  <si>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</si>
  <si>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</si>
  <si>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</si>
  <si>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</si>
  <si>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</si>
  <si>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</si>
  <si>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</si>
  <si>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</si>
  <si>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</si>
  <si>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</si>
  <si>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</si>
  <si>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</si>
  <si>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</si>
  <si>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</si>
  <si>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</si>
  <si>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</si>
  <si>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</si>
  <si>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</si>
  <si>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</si>
  <si>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</si>
  <si>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</si>
  <si>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</si>
  <si>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</si>
  <si>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</si>
  <si>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</si>
  <si>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</si>
  <si>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</si>
  <si>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</si>
  <si>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</si>
  <si>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</si>
  <si>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</si>
  <si>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</si>
  <si>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</si>
  <si>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</si>
  <si>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</si>
  <si>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</si>
  <si>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</si>
  <si>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</si>
  <si>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</si>
  <si>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</si>
  <si>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</si>
  <si>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</si>
  <si>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</si>
  <si>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</si>
  <si>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</si>
  <si>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</si>
  <si>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</si>
  <si>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</si>
  <si>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</si>
  <si>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</si>
  <si>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</si>
  <si>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</si>
  <si>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</si>
  <si>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</si>
  <si>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</si>
  <si>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</si>
  <si>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</si>
  <si>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</si>
  <si>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</si>
  <si>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</si>
  <si>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</si>
  <si>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</si>
  <si>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</si>
  <si>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</si>
  <si>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</si>
  <si>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</si>
  <si>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</si>
  <si>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</si>
  <si>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</si>
  <si>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</si>
  <si>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</si>
  <si>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</si>
  <si>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</si>
  <si>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</si>
  <si>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</si>
  <si>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</si>
  <si>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</si>
  <si>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</si>
  <si>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</si>
  <si>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</si>
  <si>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</si>
  <si>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</si>
  <si>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</si>
  <si>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</si>
  <si>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</si>
  <si>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</si>
  <si>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</si>
  <si>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</si>
  <si>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</si>
  <si>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</si>
  <si>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</si>
  <si>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</si>
  <si>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</si>
  <si>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</si>
  <si>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</si>
  <si>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</si>
  <si>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</si>
  <si>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</si>
  <si>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</si>
  <si>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</si>
  <si>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</si>
  <si>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</si>
  <si>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</si>
  <si>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</si>
  <si>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</si>
  <si>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</si>
  <si>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</si>
  <si>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</si>
  <si>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</si>
  <si>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</si>
  <si>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</si>
  <si>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</si>
  <si>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</si>
  <si>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</si>
  <si>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</si>
  <si>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</si>
  <si>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</si>
  <si>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</si>
  <si>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</si>
  <si>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</si>
  <si>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</si>
  <si>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</si>
  <si>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</si>
  <si>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</si>
  <si>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</si>
  <si>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</si>
  <si>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</si>
  <si>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</si>
  <si>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</si>
  <si>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</si>
  <si>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</si>
  <si>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</si>
  <si>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</si>
  <si>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</si>
  <si>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</si>
  <si>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</si>
  <si>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</si>
  <si>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</si>
  <si>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</si>
  <si>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</si>
  <si>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</si>
  <si>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</si>
  <si>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</si>
  <si>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</si>
  <si>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</si>
  <si>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</si>
  <si>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</si>
  <si>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</si>
  <si>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</si>
  <si>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</si>
  <si>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</si>
  <si>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</si>
  <si>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</si>
  <si>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</si>
  <si>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</si>
  <si>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</si>
  <si>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</si>
  <si>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</si>
  <si>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</si>
  <si>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</si>
  <si>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</si>
  <si>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</si>
  <si>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</si>
  <si>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</si>
  <si>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</si>
  <si>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</si>
  <si>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</si>
  <si>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</si>
  <si>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</si>
  <si>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</si>
  <si>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</si>
  <si>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</si>
  <si>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</si>
  <si>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</si>
  <si>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</si>
  <si>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</si>
  <si>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</si>
  <si>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</si>
  <si>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</si>
  <si>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</si>
  <si>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</si>
  <si>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</si>
  <si>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</si>
  <si>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</si>
  <si>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</si>
  <si>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</si>
  <si>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</si>
  <si>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</si>
  <si>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</si>
  <si>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</si>
  <si>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</si>
  <si>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</si>
  <si>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</si>
  <si>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</si>
  <si>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</si>
  <si>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</si>
  <si>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</si>
  <si>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</si>
  <si>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</si>
  <si>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</si>
  <si>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</si>
  <si>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</si>
  <si>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</si>
  <si>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</si>
  <si>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</si>
  <si>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</si>
  <si>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</si>
  <si>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</si>
  <si>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</si>
  <si>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</si>
  <si>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</si>
  <si>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</si>
  <si>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</si>
  <si>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</si>
  <si>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</si>
  <si>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</si>
  <si>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</si>
  <si>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</si>
  <si>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</si>
  <si>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</si>
  <si>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</si>
  <si>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</si>
  <si>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</si>
  <si>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</si>
  <si>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</si>
  <si>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</si>
  <si>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</si>
  <si>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</si>
  <si>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</si>
  <si>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</si>
  <si>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</si>
  <si>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</si>
  <si>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</si>
  <si>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</si>
  <si>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</si>
  <si>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</si>
  <si>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</si>
  <si>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</si>
  <si>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</si>
  <si>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</si>
  <si>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</si>
  <si>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</si>
  <si>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</si>
  <si>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</si>
  <si>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</si>
  <si>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</si>
  <si>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</si>
  <si>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</si>
  <si>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</si>
  <si>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</si>
  <si>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</si>
  <si>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</si>
  <si>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</si>
  <si>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</si>
  <si>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</si>
  <si>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</si>
  <si>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</si>
  <si>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</si>
  <si>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</si>
  <si>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</si>
  <si>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</si>
  <si>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</si>
  <si>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</si>
  <si>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</si>
  <si>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</si>
  <si>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</si>
  <si>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</si>
  <si>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</si>
  <si>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</si>
  <si>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</si>
  <si>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</si>
  <si>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</si>
  <si>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</si>
  <si>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</si>
  <si>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</si>
  <si>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</si>
  <si>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</si>
  <si>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</si>
  <si>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</si>
  <si>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</si>
  <si>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</si>
  <si>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</si>
  <si>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</si>
  <si>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</si>
  <si>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</si>
  <si>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</si>
  <si>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</si>
  <si>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</si>
  <si>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</si>
  <si>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</si>
  <si>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</si>
  <si>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</si>
  <si>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</si>
  <si>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</si>
  <si>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</si>
  <si>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</si>
  <si>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</si>
  <si>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</si>
  <si>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</si>
  <si>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</si>
  <si>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</si>
  <si>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</si>
  <si>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</si>
  <si>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</si>
  <si>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</si>
  <si>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</si>
  <si>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</si>
  <si>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</si>
  <si>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</si>
  <si>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</si>
  <si>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</si>
  <si>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</si>
  <si>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</si>
  <si>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</si>
  <si>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</si>
  <si>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</si>
  <si>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</si>
  <si>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</si>
  <si>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</si>
  <si>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</si>
  <si>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</si>
  <si>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</si>
  <si>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</si>
  <si>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</si>
  <si>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</si>
  <si>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</si>
  <si>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</si>
  <si>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</si>
  <si>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</si>
  <si>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</si>
  <si>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</si>
  <si>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</si>
  <si>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</si>
  <si>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</si>
  <si>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</si>
  <si>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</si>
  <si>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</si>
  <si>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</si>
  <si>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</si>
  <si>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</si>
  <si>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</si>
  <si>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</si>
  <si>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</si>
  <si>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</si>
  <si>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</si>
  <si>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</si>
  <si>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</si>
  <si>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</si>
  <si>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</si>
  <si>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</si>
  <si>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</si>
  <si>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</si>
  <si>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</si>
  <si>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</si>
  <si>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</si>
  <si>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</si>
  <si>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</si>
  <si>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</si>
  <si>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</si>
  <si>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</si>
  <si>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</si>
  <si>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</si>
  <si>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</si>
  <si>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</si>
  <si>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</si>
  <si>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</si>
  <si>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</si>
  <si>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</si>
  <si>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</si>
  <si>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</si>
  <si>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</si>
  <si>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</si>
  <si>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</si>
  <si>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</si>
  <si>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</si>
  <si>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</si>
  <si>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</si>
  <si>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</si>
  <si>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</si>
  <si>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</si>
  <si>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</si>
  <si>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</si>
  <si>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</si>
  <si>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</si>
  <si>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</si>
  <si>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</si>
  <si>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</si>
  <si>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</si>
  <si>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</si>
  <si>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</si>
  <si>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</si>
  <si>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</si>
  <si>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</si>
  <si>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</si>
  <si>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</si>
  <si>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</si>
  <si>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</si>
  <si>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</si>
  <si>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</si>
  <si>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</si>
  <si>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</si>
  <si>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</si>
  <si>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</si>
  <si>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</si>
  <si>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</si>
  <si>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</si>
  <si>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</si>
  <si>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</si>
  <si>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</si>
  <si>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</si>
  <si>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</si>
  <si>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</si>
  <si>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</si>
  <si>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</si>
  <si>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</si>
  <si>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</si>
  <si>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</si>
  <si>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</si>
  <si>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</si>
  <si>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</si>
  <si>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</si>
  <si>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</si>
  <si>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</si>
  <si>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</si>
  <si>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</si>
  <si>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</si>
  <si>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</si>
  <si>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</si>
  <si>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</si>
  <si>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</si>
  <si>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</si>
  <si>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</si>
  <si>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</si>
  <si>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</si>
  <si>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</si>
  <si>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</si>
  <si>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</si>
  <si>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</si>
  <si>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</si>
  <si>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</si>
  <si>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</si>
  <si>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</si>
  <si>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</si>
  <si>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</si>
  <si>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</si>
  <si>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</si>
  <si>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</si>
  <si>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</si>
  <si>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</si>
  <si>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</si>
  <si>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</si>
  <si>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</si>
  <si>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</si>
  <si>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</si>
  <si>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</si>
  <si>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</si>
  <si>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</si>
  <si>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</si>
  <si>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</si>
  <si>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</si>
  <si>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</si>
  <si>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</si>
  <si>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</si>
  <si>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</si>
  <si>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</si>
  <si>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</si>
  <si>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</si>
  <si>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</si>
  <si>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</si>
  <si>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</si>
  <si>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</si>
  <si>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</si>
  <si>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</si>
  <si>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</si>
  <si>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</si>
  <si>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</si>
  <si>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</si>
  <si>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</si>
  <si>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</si>
  <si>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</si>
  <si>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</si>
  <si>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</si>
  <si>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</si>
  <si>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</si>
  <si>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</si>
  <si>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</si>
  <si>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</si>
  <si>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</si>
  <si>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</si>
  <si>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</si>
  <si>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</si>
  <si>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</si>
  <si>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</si>
  <si>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</si>
  <si>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</si>
  <si>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</si>
  <si>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</si>
  <si>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</si>
  <si>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</si>
  <si>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</si>
  <si>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</si>
  <si>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</si>
  <si>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</si>
  <si>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</si>
  <si>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</si>
  <si>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</si>
  <si>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</si>
  <si>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</si>
  <si>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</si>
  <si>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</si>
  <si>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</si>
  <si>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</si>
  <si>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</si>
  <si>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</si>
  <si>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</si>
  <si>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</si>
  <si>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</si>
  <si>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</si>
  <si>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</si>
  <si>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</si>
  <si>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</si>
  <si>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</si>
  <si>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</si>
  <si>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</si>
  <si>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</si>
  <si>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</si>
  <si>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</si>
  <si>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</si>
  <si>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</si>
  <si>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</si>
  <si>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</si>
  <si>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</si>
  <si>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</si>
  <si>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</si>
  <si>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</si>
  <si>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</si>
  <si>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</si>
  <si>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</si>
  <si>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</si>
  <si>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</si>
  <si>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</si>
  <si>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</si>
  <si>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</si>
  <si>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</si>
  <si>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</si>
  <si>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</si>
  <si>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</si>
  <si>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</si>
  <si>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</si>
  <si>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</si>
  <si>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</si>
  <si>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</si>
  <si>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</si>
  <si>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</si>
  <si>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</si>
  <si>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</si>
  <si>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</si>
  <si>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</si>
  <si>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</si>
  <si>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</si>
  <si>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</si>
  <si>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</si>
  <si>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</si>
  <si>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</si>
  <si>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</si>
  <si>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</si>
  <si>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</si>
  <si>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</si>
  <si>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</si>
  <si>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</si>
  <si>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</si>
  <si>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</si>
  <si>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</si>
  <si>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</si>
  <si>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</si>
  <si>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</si>
  <si>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</si>
  <si>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</si>
  <si>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</si>
  <si>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</si>
  <si>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</si>
  <si>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</si>
  <si>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</si>
  <si>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</si>
  <si>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</si>
  <si>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</si>
  <si>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</si>
  <si>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</si>
  <si>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</si>
  <si>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</si>
  <si>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</si>
  <si>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</si>
  <si>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</si>
  <si>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</si>
  <si>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</si>
  <si>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</si>
  <si>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</si>
  <si>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</si>
  <si>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</si>
  <si>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</si>
  <si>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</si>
  <si>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</si>
  <si>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</si>
  <si>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</si>
  <si>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</si>
  <si>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</si>
  <si>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</si>
  <si>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</si>
  <si>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</si>
  <si>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</si>
  <si>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</si>
  <si>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</si>
  <si>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</si>
  <si>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</si>
  <si>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</si>
  <si>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</si>
  <si>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</si>
  <si>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</si>
  <si>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</si>
  <si>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</si>
  <si>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</si>
  <si>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</si>
  <si>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</si>
  <si>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</si>
  <si>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</si>
  <si>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</si>
  <si>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</si>
  <si>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</si>
  <si>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</si>
  <si>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</si>
  <si>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</si>
  <si>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</si>
  <si>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</si>
  <si>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</si>
  <si>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</si>
  <si>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</si>
  <si>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</si>
  <si>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</si>
  <si>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</si>
  <si>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</si>
  <si>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</si>
  <si>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</si>
  <si>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</si>
  <si>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</si>
  <si>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</si>
  <si>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</si>
  <si>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</si>
  <si>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</si>
  <si>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</si>
  <si>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</si>
  <si>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</si>
  <si>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</si>
  <si>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</si>
  <si>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</si>
  <si>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</si>
  <si>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</si>
  <si>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</si>
  <si>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</si>
  <si>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</si>
  <si>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</si>
  <si>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</si>
  <si>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</si>
  <si>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</si>
  <si>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</si>
  <si>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</si>
  <si>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</si>
  <si>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</si>
  <si>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</si>
  <si>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</si>
  <si>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</si>
  <si>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</si>
  <si>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</si>
  <si>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</si>
  <si>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</si>
  <si>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</si>
  <si>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</si>
  <si>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</si>
  <si>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</si>
  <si>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</si>
  <si>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</si>
  <si>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</si>
  <si>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</si>
  <si>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</si>
  <si>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</si>
  <si>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</si>
  <si>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</si>
  <si>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</si>
  <si>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</si>
  <si>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</si>
  <si>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</si>
  <si>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</si>
  <si>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</si>
  <si>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</si>
  <si>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</si>
  <si>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</si>
  <si>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</si>
  <si>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</si>
  <si>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</si>
  <si>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</si>
  <si>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</si>
  <si>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</si>
  <si>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</si>
  <si>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</si>
  <si>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</si>
  <si>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</si>
  <si>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</si>
  <si>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</si>
  <si>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</si>
  <si>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</si>
  <si>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</si>
  <si>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</si>
  <si>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</si>
  <si>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</si>
  <si>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</si>
  <si>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</si>
  <si>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</si>
  <si>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</si>
  <si>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</si>
  <si>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</si>
  <si>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</si>
  <si>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</si>
  <si>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</si>
  <si>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</si>
  <si>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</si>
  <si>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</si>
  <si>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</si>
  <si>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</si>
  <si>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</si>
  <si>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</si>
  <si>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</si>
  <si>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</si>
  <si>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</si>
  <si>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</si>
  <si>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</si>
  <si>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</si>
  <si>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</si>
  <si>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</si>
  <si>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</si>
  <si>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</si>
  <si>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</si>
  <si>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</si>
  <si>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</si>
  <si>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</si>
  <si>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</si>
  <si>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</si>
  <si>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</si>
  <si>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</si>
  <si>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</si>
  <si>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</si>
  <si>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</si>
  <si>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</si>
  <si>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</si>
  <si>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</si>
  <si>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</si>
  <si>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</si>
  <si>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</si>
  <si>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</si>
  <si>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</si>
  <si>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</si>
  <si>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</si>
  <si>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</si>
  <si>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</si>
  <si>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</si>
  <si>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</si>
  <si>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</si>
  <si>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</si>
  <si>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</si>
  <si>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</si>
  <si>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</si>
  <si>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</si>
  <si>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</si>
  <si>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</si>
  <si>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</si>
  <si>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</si>
  <si>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</si>
  <si>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</si>
  <si>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</si>
  <si>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</si>
  <si>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</si>
  <si>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</si>
  <si>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</si>
  <si>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</si>
  <si>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</si>
  <si>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</si>
  <si>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</si>
  <si>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</si>
  <si>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</si>
  <si>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</si>
  <si>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</si>
  <si>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</si>
  <si>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</si>
  <si>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</si>
  <si>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</si>
  <si>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</si>
  <si>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</si>
  <si>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</si>
  <si>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</si>
  <si>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</si>
  <si>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</si>
  <si>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</si>
  <si>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</si>
  <si>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</si>
  <si>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</si>
  <si>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</si>
  <si>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</si>
  <si>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</si>
  <si>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</si>
  <si>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</si>
  <si>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</si>
  <si>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</si>
  <si>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</si>
  <si>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</si>
  <si>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</si>
  <si>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</si>
  <si>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</si>
  <si>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</si>
  <si>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</si>
  <si>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</si>
  <si>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</si>
  <si>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</si>
  <si>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</si>
  <si>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</si>
  <si>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</si>
  <si>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</si>
  <si>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</si>
  <si>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</si>
  <si>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</si>
  <si>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</si>
  <si>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</si>
  <si>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</si>
  <si>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</si>
  <si>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</si>
  <si>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</si>
  <si>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</si>
  <si>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</si>
  <si>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</si>
  <si>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</si>
  <si>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</si>
  <si>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</si>
  <si>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</si>
  <si>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</si>
  <si>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</si>
  <si>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</si>
  <si>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</si>
  <si>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</si>
  <si>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</si>
  <si>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</si>
  <si>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</si>
  <si>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</si>
  <si>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</si>
  <si>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</si>
  <si>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</si>
  <si>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</si>
  <si>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</si>
  <si>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</si>
  <si>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</si>
  <si>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</si>
  <si>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</si>
  <si>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</si>
  <si>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</si>
  <si>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</si>
  <si>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</si>
  <si>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</si>
  <si>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</si>
  <si>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</si>
  <si>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</si>
  <si>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</si>
  <si>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</si>
  <si>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</si>
  <si>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</si>
  <si>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</si>
  <si>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</si>
  <si>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</si>
  <si>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</si>
  <si>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</si>
  <si>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</si>
  <si>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</si>
  <si>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</si>
  <si>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</si>
  <si>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</si>
  <si>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</si>
  <si>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</si>
  <si>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</si>
  <si>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</si>
  <si>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</si>
  <si>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</si>
  <si>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</si>
  <si>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</si>
  <si>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</si>
  <si>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</si>
  <si>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</si>
  <si>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</si>
  <si>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</si>
  <si>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</si>
  <si>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</si>
  <si>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</si>
  <si>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</si>
  <si>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</si>
  <si>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</si>
  <si>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</si>
  <si>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</si>
  <si>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</si>
  <si>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</si>
  <si>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</si>
  <si>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</si>
  <si>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</si>
  <si>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</si>
  <si>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</si>
  <si>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</si>
  <si>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</si>
  <si>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</si>
  <si>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</si>
  <si>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</si>
  <si>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</si>
  <si>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</si>
  <si>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</si>
  <si>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</si>
  <si>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</si>
  <si>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</si>
  <si>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</si>
  <si>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</si>
  <si>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</si>
  <si>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</si>
  <si>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</si>
  <si>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</si>
  <si>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</si>
  <si>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</si>
  <si>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</si>
  <si>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</si>
  <si>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</si>
  <si>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</si>
  <si>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</si>
  <si>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</si>
  <si>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</si>
  <si>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</si>
  <si>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</si>
  <si>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</si>
  <si>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</si>
  <si>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</si>
  <si>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</si>
  <si>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</si>
  <si>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</si>
  <si>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</si>
  <si>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</si>
  <si>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</si>
  <si>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</si>
  <si>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</si>
  <si>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</si>
  <si>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</si>
  <si>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</si>
  <si>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</si>
  <si>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</si>
  <si>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</si>
  <si>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</si>
  <si>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</si>
  <si>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</si>
  <si>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</si>
  <si>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</si>
  <si>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</si>
  <si>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</si>
  <si>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</si>
  <si>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</si>
  <si>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</si>
  <si>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</si>
  <si>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</si>
  <si>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</si>
  <si>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</si>
  <si>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</si>
  <si>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</si>
  <si>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</si>
  <si>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</si>
  <si>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</si>
  <si>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</si>
  <si>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</si>
  <si>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</si>
  <si>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</si>
  <si>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</si>
  <si>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</si>
  <si>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</si>
  <si>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</si>
  <si>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</si>
  <si>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</si>
  <si>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</si>
  <si>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</si>
  <si>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</si>
  <si>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</si>
  <si>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</si>
  <si>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</si>
  <si>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</si>
  <si>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</si>
  <si>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</si>
  <si>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</si>
  <si>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</si>
  <si>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</si>
  <si>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</si>
  <si>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</si>
  <si>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</si>
  <si>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</si>
  <si>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</si>
  <si>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</si>
  <si>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</si>
  <si>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</si>
  <si>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</si>
  <si>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</si>
  <si>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</si>
  <si>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</si>
  <si>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</si>
  <si>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</si>
  <si>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</si>
  <si>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</si>
  <si>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</si>
  <si>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</si>
  <si>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</si>
  <si>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</si>
  <si>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</si>
  <si>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</si>
  <si>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</si>
  <si>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</si>
  <si>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</si>
  <si>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</si>
  <si>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</si>
  <si>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</si>
  <si>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</si>
  <si>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</si>
  <si>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</si>
  <si>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</si>
  <si>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</si>
  <si>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</si>
  <si>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</si>
  <si>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</si>
  <si>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</si>
  <si>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</si>
  <si>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</si>
  <si>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</si>
  <si>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</si>
  <si>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</si>
  <si>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</si>
  <si>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</si>
  <si>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</si>
  <si>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</si>
  <si>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</si>
  <si>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</si>
  <si>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</si>
  <si>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</si>
  <si>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</si>
  <si>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</si>
  <si>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</si>
  <si>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</si>
  <si>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</si>
  <si>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</si>
  <si>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</si>
  <si>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</si>
  <si>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</si>
  <si>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</si>
  <si>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</si>
  <si>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</si>
  <si>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</si>
  <si>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</si>
  <si>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</si>
  <si>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</si>
  <si>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</si>
  <si>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</si>
  <si>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</si>
  <si>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</si>
  <si>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</si>
  <si>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</si>
  <si>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</si>
  <si>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</si>
  <si>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</si>
  <si>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</si>
  <si>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</si>
  <si>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</si>
  <si>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</si>
  <si>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</si>
  <si>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</si>
  <si>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</si>
  <si>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</si>
  <si>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</si>
  <si>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</si>
  <si>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</si>
  <si>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</si>
  <si>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</si>
  <si>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</si>
  <si>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</si>
  <si>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</si>
  <si>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</si>
  <si>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</si>
  <si>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</si>
  <si>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</si>
  <si>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</si>
  <si>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</si>
  <si>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</si>
  <si>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</si>
  <si>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</si>
  <si>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</si>
  <si>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</si>
  <si>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</si>
  <si>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</si>
  <si>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</si>
  <si>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</si>
  <si>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</si>
  <si>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</si>
  <si>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</si>
  <si>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</si>
  <si>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</si>
  <si>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</si>
  <si>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</si>
  <si>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</si>
  <si>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</si>
  <si>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</si>
  <si>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</si>
  <si>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</si>
  <si>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</si>
  <si>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</si>
  <si>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</si>
  <si>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</si>
  <si>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</si>
  <si>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</si>
  <si>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</si>
  <si>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</si>
  <si>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</si>
  <si>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</si>
  <si>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</si>
  <si>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</si>
  <si>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</si>
  <si>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</si>
  <si>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</si>
  <si>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</si>
  <si>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</si>
  <si>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</si>
  <si>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</si>
  <si>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</si>
  <si>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</si>
  <si>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</si>
  <si>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</si>
  <si>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</si>
  <si>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</si>
  <si>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</si>
  <si>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</si>
  <si>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</si>
  <si>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</si>
  <si>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</si>
  <si>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</si>
  <si>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</si>
  <si>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</si>
  <si>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</si>
  <si>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</si>
  <si>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</si>
  <si>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</si>
  <si>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</si>
  <si>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</si>
  <si>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</si>
  <si>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</si>
  <si>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</si>
  <si>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</si>
  <si>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</si>
  <si>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</si>
  <si>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</si>
  <si>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</si>
  <si>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</si>
  <si>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</si>
  <si>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</si>
  <si>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</si>
  <si>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</si>
  <si>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</si>
  <si>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</si>
  <si>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</si>
  <si>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</si>
  <si>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</si>
  <si>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</si>
  <si>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</si>
  <si>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</si>
  <si>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</si>
  <si>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</si>
  <si>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</si>
  <si>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</si>
  <si>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</si>
  <si>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</si>
  <si>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</si>
  <si>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</si>
  <si>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</si>
  <si>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</si>
  <si>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</si>
  <si>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</si>
  <si>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</si>
  <si>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</si>
  <si>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</si>
  <si>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</si>
  <si>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</si>
  <si>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</si>
  <si>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</si>
  <si>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</si>
  <si>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</si>
  <si>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</si>
  <si>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</si>
  <si>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</si>
  <si>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</si>
  <si>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</si>
  <si>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</si>
  <si>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</si>
  <si>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</si>
  <si>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</si>
  <si>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</si>
  <si>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</si>
  <si>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</si>
  <si>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</si>
  <si>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</si>
  <si>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</si>
  <si>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</si>
  <si>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</si>
  <si>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</si>
  <si>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</si>
  <si>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</si>
  <si>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</si>
  <si>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</si>
  <si>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</si>
  <si>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</si>
  <si>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</si>
  <si>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</si>
  <si>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</si>
  <si>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</si>
  <si>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</si>
  <si>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</si>
  <si>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</si>
  <si>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</si>
  <si>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</si>
  <si>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</si>
  <si>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</si>
  <si>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</si>
  <si>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</si>
  <si>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</si>
  <si>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</si>
  <si>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</si>
  <si>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</si>
  <si>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</si>
  <si>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</si>
  <si>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</si>
  <si>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</si>
  <si>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</si>
  <si>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</si>
  <si>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</si>
  <si>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</si>
  <si>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</si>
  <si>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</si>
  <si>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</si>
  <si>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</si>
  <si>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</si>
  <si>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</si>
  <si>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</si>
  <si>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</si>
  <si>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</si>
  <si>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</si>
  <si>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</si>
  <si>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</si>
  <si>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</si>
  <si>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</si>
  <si>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</si>
  <si>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</si>
  <si>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</si>
  <si>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</si>
  <si>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</si>
  <si>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</si>
  <si>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</si>
  <si>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</si>
  <si>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</si>
  <si>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</si>
  <si>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</si>
  <si>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</si>
  <si>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</si>
  <si>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</si>
  <si>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</si>
  <si>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</si>
  <si>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</si>
  <si>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</si>
  <si>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</si>
  <si>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</si>
  <si>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</si>
  <si>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</si>
  <si>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</si>
  <si>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</si>
  <si>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</si>
  <si>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</si>
  <si>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</si>
  <si>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</si>
  <si>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</si>
  <si>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</si>
  <si>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</si>
  <si>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</si>
  <si>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</si>
  <si>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</si>
  <si>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</si>
  <si>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</si>
  <si>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</si>
  <si>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</si>
  <si>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</si>
  <si>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</si>
  <si>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</si>
  <si>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</si>
  <si>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</si>
  <si>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</si>
  <si>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</si>
  <si>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</si>
  <si>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</si>
  <si>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</si>
  <si>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</si>
  <si>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</si>
  <si>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</si>
  <si>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</si>
  <si>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</si>
  <si>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</si>
  <si>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</si>
  <si>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</si>
  <si>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</si>
  <si>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</si>
  <si>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</si>
  <si>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</si>
  <si>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</si>
  <si>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</si>
  <si>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</si>
  <si>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</si>
  <si>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</si>
  <si>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</si>
  <si>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</si>
  <si>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</si>
  <si>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</si>
  <si>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</si>
  <si>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</si>
  <si>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</si>
  <si>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</si>
  <si>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</si>
  <si>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</si>
  <si>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</si>
  <si>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</si>
  <si>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</si>
  <si>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</si>
  <si>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</si>
  <si>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</si>
  <si>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</si>
  <si>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</si>
  <si>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</si>
  <si>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</si>
  <si>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</si>
  <si>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</si>
  <si>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</si>
  <si>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</si>
  <si>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</si>
  <si>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</si>
  <si>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</si>
  <si>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</si>
  <si>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</si>
  <si>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</si>
  <si>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</si>
  <si>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</si>
  <si>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</si>
  <si>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</si>
  <si>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</si>
  <si>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</si>
  <si>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</si>
  <si>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</si>
  <si>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</si>
  <si>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</si>
  <si>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</si>
  <si>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</si>
  <si>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</si>
  <si>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</si>
  <si>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</si>
  <si>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</si>
  <si>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</si>
  <si>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</si>
  <si>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</si>
  <si>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</si>
  <si>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</si>
  <si>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</si>
  <si>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</si>
  <si>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</si>
  <si>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</si>
  <si>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</si>
  <si>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</si>
  <si>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</si>
  <si>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</si>
  <si>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</si>
  <si>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</si>
  <si>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</si>
  <si>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</si>
  <si>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</si>
  <si>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</si>
  <si>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</si>
  <si>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</si>
  <si>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</si>
  <si>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</si>
  <si>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</si>
  <si>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</si>
  <si>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</si>
  <si>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</si>
  <si>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</si>
  <si>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</si>
  <si>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</si>
  <si>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</si>
  <si>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</si>
  <si>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</si>
  <si>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</si>
  <si>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</si>
  <si>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</si>
  <si>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</si>
  <si>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</si>
  <si>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</si>
  <si>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</si>
  <si>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</si>
  <si>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</si>
  <si>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</si>
  <si>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</si>
  <si>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</si>
  <si>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</si>
  <si>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</si>
  <si>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</si>
  <si>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</si>
  <si>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</si>
  <si>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</si>
  <si>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</si>
  <si>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</si>
  <si>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</si>
  <si>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</si>
  <si>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</si>
  <si>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</si>
  <si>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</si>
  <si>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</si>
  <si>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</si>
  <si>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</si>
  <si>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</si>
  <si>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</si>
  <si>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</si>
  <si>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</si>
  <si>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</si>
  <si>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</si>
  <si>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</si>
  <si>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</si>
  <si>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</si>
  <si>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</si>
  <si>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</si>
  <si>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</si>
  <si>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</si>
  <si>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</si>
  <si>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</si>
  <si>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</si>
  <si>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</si>
  <si>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</si>
  <si>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</si>
  <si>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</si>
  <si>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</si>
  <si>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</si>
  <si>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</si>
  <si>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</si>
  <si>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</si>
  <si>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</si>
  <si>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</si>
  <si>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</si>
  <si>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</si>
  <si>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</si>
  <si>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</si>
  <si>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</si>
  <si>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</si>
  <si>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</si>
  <si>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</si>
  <si>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</si>
  <si>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</si>
  <si>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</si>
  <si>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</si>
  <si>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</si>
  <si>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</si>
  <si>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</si>
  <si>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</si>
  <si>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</si>
  <si>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</si>
  <si>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</si>
  <si>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</si>
  <si>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</si>
  <si>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</si>
  <si>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</si>
  <si>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</si>
  <si>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</si>
  <si>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</si>
  <si>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</si>
  <si>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</si>
  <si>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</si>
  <si>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</si>
  <si>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</si>
  <si>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</si>
  <si>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</si>
  <si>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</si>
  <si>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</si>
  <si>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</si>
  <si>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</si>
  <si>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</si>
  <si>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</si>
  <si>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</si>
  <si>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</si>
  <si>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</si>
  <si>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</si>
  <si>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</si>
  <si>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</si>
  <si>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</si>
  <si>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</si>
  <si>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</si>
  <si>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</si>
  <si>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</si>
  <si>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</si>
  <si>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</si>
  <si>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</si>
  <si>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</si>
  <si>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</si>
  <si>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</si>
  <si>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</si>
  <si>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</si>
  <si>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</si>
  <si>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</si>
  <si>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</si>
  <si>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</si>
  <si>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</si>
  <si>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</si>
  <si>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</si>
  <si>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</si>
  <si>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</si>
  <si>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</si>
  <si>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</si>
  <si>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</si>
  <si>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</si>
  <si>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</si>
  <si>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</si>
  <si>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</si>
  <si>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</si>
  <si>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</si>
  <si>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</si>
  <si>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</si>
  <si>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</si>
  <si>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</si>
  <si>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</si>
  <si>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</si>
  <si>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</si>
  <si>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</si>
  <si>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</si>
  <si>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</si>
  <si>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</si>
  <si>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</si>
  <si>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</si>
  <si>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</si>
  <si>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</si>
  <si>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</si>
  <si>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</si>
  <si>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</si>
  <si>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</si>
  <si>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</si>
  <si>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</si>
  <si>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</si>
  <si>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</si>
  <si>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</si>
  <si>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</si>
  <si>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</si>
  <si>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</si>
  <si>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</si>
  <si>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</si>
  <si>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</si>
  <si>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</si>
  <si>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</si>
  <si>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</si>
  <si>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</si>
  <si>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</si>
  <si>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</si>
  <si>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</si>
  <si>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</si>
  <si>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</si>
  <si>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</si>
  <si>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</si>
  <si>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</si>
  <si>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</si>
  <si>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</si>
  <si>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</si>
  <si>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</si>
  <si>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</si>
  <si>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</si>
  <si>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</si>
  <si>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</si>
  <si>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</si>
  <si>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</si>
  <si>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</si>
  <si>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</si>
  <si>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</si>
  <si>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</si>
  <si>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</si>
  <si>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</si>
  <si>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</si>
  <si>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</si>
  <si>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</si>
  <si>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</si>
  <si>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</si>
  <si>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</si>
  <si>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</si>
  <si>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</si>
  <si>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</si>
  <si>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</si>
  <si>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</si>
  <si>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</si>
  <si>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</si>
  <si>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</si>
  <si>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</si>
  <si>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</si>
  <si>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</si>
  <si>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</si>
  <si>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</si>
  <si>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</si>
  <si>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</si>
  <si>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</si>
  <si>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</si>
  <si>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</si>
  <si>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</si>
  <si>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</si>
  <si>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</si>
  <si>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</si>
  <si>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</si>
  <si>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</si>
  <si>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</si>
  <si>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</si>
  <si>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</si>
  <si>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</si>
  <si>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</si>
  <si>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</si>
  <si>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</si>
  <si>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</si>
  <si>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</si>
  <si>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</si>
  <si>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</si>
  <si>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</si>
  <si>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</si>
  <si>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</si>
  <si>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</si>
  <si>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</si>
  <si>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</si>
  <si>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</si>
  <si>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</si>
  <si>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</si>
  <si>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</si>
  <si>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</si>
  <si>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</si>
  <si>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</si>
  <si>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</si>
  <si>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</si>
  <si>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</si>
  <si>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</si>
  <si>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</si>
  <si>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</si>
  <si>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</si>
  <si>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</si>
  <si>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</si>
  <si>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</si>
  <si>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</si>
  <si>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</si>
  <si>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</si>
  <si>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</si>
  <si>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</si>
  <si>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</si>
  <si>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</si>
  <si>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</si>
  <si>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</si>
  <si>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</si>
  <si>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</si>
  <si>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</si>
  <si>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</si>
  <si>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</si>
  <si>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</si>
  <si>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</si>
  <si>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</si>
  <si>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</si>
  <si>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</si>
  <si>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</si>
  <si>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</si>
  <si>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</si>
  <si>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</si>
  <si>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</si>
  <si>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</si>
  <si>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</si>
  <si>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</si>
  <si>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</si>
  <si>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</si>
  <si>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</si>
  <si>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</si>
  <si>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</si>
  <si>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</si>
  <si>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</si>
  <si>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</si>
  <si>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</si>
  <si>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</si>
  <si>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</si>
  <si>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</si>
  <si>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</si>
  <si>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</si>
  <si>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</si>
  <si>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</si>
  <si>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</si>
  <si>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</si>
  <si>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</si>
  <si>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</si>
  <si>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</si>
  <si>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</si>
  <si>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</si>
  <si>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</si>
  <si>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</si>
  <si>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</si>
  <si>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</si>
  <si>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</si>
  <si>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</si>
  <si>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</si>
  <si>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</si>
  <si>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</si>
  <si>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</si>
  <si>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</si>
  <si>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</si>
  <si>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</si>
  <si>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</si>
  <si>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</si>
  <si>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</si>
  <si>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</si>
  <si>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</si>
  <si>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</si>
  <si>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</si>
  <si>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</si>
  <si>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</si>
  <si>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</si>
  <si>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</si>
  <si>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</si>
  <si>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</si>
  <si>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</si>
  <si>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</si>
  <si>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</si>
  <si>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</si>
  <si>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</si>
  <si>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</si>
  <si>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</si>
  <si>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</si>
  <si>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</si>
  <si>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</si>
  <si>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</si>
  <si>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</si>
  <si>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</si>
  <si>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</si>
  <si>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</si>
  <si>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</si>
  <si>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</si>
  <si>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</si>
  <si>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</si>
  <si>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</si>
  <si>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</si>
  <si>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</si>
  <si>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</si>
  <si>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</si>
  <si>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</si>
  <si>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</si>
  <si>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</si>
  <si>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</si>
  <si>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</si>
  <si>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</si>
  <si>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</si>
  <si>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</si>
  <si>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</si>
  <si>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</si>
  <si>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</si>
  <si>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</si>
  <si>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</si>
  <si>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</si>
  <si>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</si>
  <si>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</si>
  <si>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</si>
  <si>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</si>
  <si>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</si>
  <si>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</si>
  <si>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</si>
  <si>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</si>
  <si>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</si>
  <si>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</si>
  <si>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</si>
  <si>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</si>
  <si>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</si>
  <si>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</si>
  <si>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</si>
  <si>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</si>
  <si>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</si>
  <si>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</si>
  <si>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</si>
  <si>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</si>
  <si>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</si>
  <si>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</si>
  <si>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</si>
  <si>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</si>
  <si>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</si>
  <si>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</si>
  <si>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</si>
  <si>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</si>
  <si>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</si>
  <si>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</si>
  <si>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</si>
  <si>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</si>
  <si>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</si>
  <si>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</si>
  <si>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</si>
  <si>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</si>
  <si>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</si>
  <si>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</si>
  <si>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</si>
  <si>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</si>
  <si>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</si>
  <si>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</si>
  <si>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</si>
  <si>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</si>
  <si>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</si>
  <si>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</si>
  <si>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</si>
  <si>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</si>
  <si>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</si>
  <si>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</si>
  <si>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</si>
  <si>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</si>
  <si>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</si>
  <si>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</si>
  <si>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</si>
  <si>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</si>
  <si>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</si>
  <si>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</si>
  <si>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</si>
  <si>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</si>
  <si>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</si>
  <si>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</si>
  <si>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</si>
  <si>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</si>
  <si>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</si>
  <si>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</si>
  <si>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</si>
  <si>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</si>
  <si>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</si>
  <si>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</si>
  <si>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</si>
  <si>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</si>
  <si>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</si>
  <si>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</si>
  <si>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</si>
  <si>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</si>
  <si>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</si>
  <si>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</si>
  <si>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</si>
  <si>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</si>
  <si>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</si>
  <si>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</si>
  <si>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</si>
  <si>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</si>
  <si>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</si>
  <si>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</si>
  <si>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</si>
  <si>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</si>
  <si>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</si>
  <si>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</si>
  <si>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</si>
  <si>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</si>
  <si>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</si>
  <si>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</si>
  <si>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</si>
  <si>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</si>
  <si>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</si>
  <si>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</si>
  <si>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</si>
  <si>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</si>
  <si>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</si>
  <si>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</si>
  <si>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</si>
  <si>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</si>
  <si>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</si>
  <si>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</si>
  <si>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</si>
  <si>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</si>
  <si>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</si>
  <si>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</si>
  <si>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</si>
  <si>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</si>
  <si>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</si>
  <si>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</si>
  <si>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</si>
  <si>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</si>
  <si>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</si>
  <si>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</si>
  <si>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</si>
  <si>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</si>
  <si>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</si>
  <si>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</si>
  <si>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</si>
  <si>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</si>
  <si>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</si>
  <si>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</si>
  <si>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</si>
  <si>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</si>
  <si>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</si>
  <si>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</si>
  <si>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</si>
  <si>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</si>
  <si>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</si>
  <si>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</si>
  <si>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</si>
  <si>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</si>
  <si>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</si>
  <si>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</si>
  <si>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</si>
  <si>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</si>
  <si>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</si>
  <si>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</si>
  <si>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</si>
  <si>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</si>
  <si>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</si>
  <si>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</si>
  <si>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</si>
  <si>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</si>
  <si>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</si>
  <si>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</si>
  <si>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</si>
  <si>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</si>
  <si>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</si>
  <si>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</si>
  <si>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</si>
  <si>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</si>
  <si>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</si>
  <si>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</si>
  <si>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</si>
  <si>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</si>
  <si>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</si>
  <si>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</si>
  <si>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</si>
  <si>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</si>
  <si>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</si>
  <si>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</si>
  <si>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</si>
  <si>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</si>
  <si>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</si>
  <si>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</si>
  <si>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</si>
  <si>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</si>
  <si>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</si>
  <si>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</si>
  <si>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</si>
  <si>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</si>
  <si>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</si>
  <si>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</si>
  <si>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</si>
  <si>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</si>
  <si>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</si>
  <si>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</si>
  <si>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</si>
  <si>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</si>
  <si>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</si>
  <si>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</si>
  <si>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</si>
  <si>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</si>
  <si>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</si>
  <si>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</si>
  <si>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</si>
  <si>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</si>
  <si>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</si>
  <si>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</si>
  <si>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</si>
  <si>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</si>
  <si>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</si>
  <si>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</si>
  <si>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</si>
  <si>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</si>
  <si>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</si>
  <si>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</si>
  <si>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</si>
  <si>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</si>
  <si>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</si>
  <si>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</si>
  <si>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</si>
  <si>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</si>
  <si>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</si>
  <si>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</si>
  <si>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</si>
  <si>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</si>
  <si>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</si>
  <si>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</si>
  <si>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</si>
  <si>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</si>
  <si>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</si>
  <si>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</si>
  <si>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</si>
  <si>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</si>
  <si>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</si>
  <si>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</si>
  <si>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</si>
  <si>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</si>
  <si>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</si>
  <si>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</si>
  <si>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</si>
  <si>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</si>
  <si>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</si>
  <si>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</si>
  <si>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</si>
  <si>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</si>
  <si>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</si>
  <si>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</si>
  <si>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</si>
  <si>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</si>
  <si>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</si>
  <si>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</si>
  <si>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</si>
  <si>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</si>
  <si>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</si>
  <si>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</si>
  <si>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</si>
  <si>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</si>
  <si>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</si>
  <si>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</si>
  <si>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</si>
  <si>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</si>
  <si>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</si>
  <si>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</si>
  <si>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</si>
  <si>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</si>
  <si>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</si>
  <si>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</si>
  <si>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</si>
  <si>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</si>
  <si>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</si>
  <si>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</si>
  <si>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</si>
  <si>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</si>
  <si>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</si>
  <si>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</si>
  <si>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</si>
  <si>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</si>
  <si>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</si>
  <si>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</si>
  <si>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</si>
  <si>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</si>
  <si>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</si>
  <si>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</si>
  <si>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</si>
  <si>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</si>
  <si>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</si>
  <si>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</si>
  <si>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</si>
  <si>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</si>
  <si>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</si>
  <si>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</si>
  <si>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</si>
  <si>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</si>
  <si>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</si>
  <si>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</si>
  <si>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</si>
  <si>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</si>
  <si>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</si>
  <si>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</si>
  <si>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</si>
  <si>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</si>
  <si>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</si>
  <si>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</si>
  <si>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</si>
  <si>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</si>
  <si>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</si>
  <si>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</si>
  <si>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</si>
  <si>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</si>
  <si>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</si>
  <si>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</si>
  <si>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</si>
  <si>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</si>
  <si>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</si>
  <si>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</si>
  <si>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</si>
  <si>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</si>
  <si>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</si>
  <si>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</si>
  <si>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</si>
  <si>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</si>
  <si>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</si>
  <si>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</si>
  <si>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</si>
  <si>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</si>
  <si>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</si>
  <si>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</si>
  <si>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</si>
  <si>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</si>
  <si>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</si>
  <si>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</si>
  <si>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</si>
  <si>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</si>
  <si>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</si>
  <si>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</si>
  <si>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</si>
  <si>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</si>
  <si>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</si>
  <si>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</si>
  <si>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</si>
  <si>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</si>
  <si>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</si>
  <si>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</si>
  <si>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</si>
  <si>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</si>
  <si>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</si>
  <si>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</si>
  <si>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</si>
  <si>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</si>
  <si>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</si>
  <si>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</si>
  <si>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</si>
  <si>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</si>
  <si>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</si>
  <si>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</si>
  <si>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</si>
  <si>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</si>
  <si>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</si>
  <si>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</si>
  <si>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</si>
  <si>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</si>
  <si>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</si>
  <si>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</si>
  <si>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</si>
  <si>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</si>
  <si>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</si>
  <si>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</si>
  <si>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</si>
  <si>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</si>
  <si>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</si>
  <si>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</si>
  <si>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</si>
  <si>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</si>
  <si>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</si>
  <si>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</si>
  <si>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</si>
  <si>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</si>
  <si>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</si>
  <si>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</si>
  <si>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</si>
  <si>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</si>
  <si>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</si>
  <si>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</si>
  <si>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</si>
  <si>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</si>
  <si>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</si>
  <si>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</si>
  <si>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</si>
  <si>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</si>
  <si>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</si>
  <si>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</si>
  <si>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</si>
  <si>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</si>
  <si>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</si>
  <si>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</si>
  <si>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</si>
  <si>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</si>
  <si>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</si>
  <si>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</si>
  <si>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</si>
  <si>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</si>
  <si>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</si>
  <si>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</si>
  <si>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</si>
  <si>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</si>
  <si>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</si>
  <si>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</si>
  <si>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</si>
  <si>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</si>
  <si>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</si>
  <si>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</si>
  <si>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</si>
  <si>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</si>
  <si>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</si>
  <si>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</si>
  <si>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</si>
  <si>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</si>
  <si>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</si>
  <si>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</si>
  <si>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</si>
  <si>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</si>
  <si>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</si>
  <si>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</si>
  <si>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</si>
  <si>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</si>
  <si>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</si>
  <si>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</si>
  <si>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</si>
  <si>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</si>
  <si>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</si>
  <si>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</si>
  <si>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</si>
  <si>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</si>
  <si>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</si>
  <si>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</si>
  <si>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</si>
  <si>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</si>
  <si>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</si>
  <si>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</si>
  <si>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</si>
  <si>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</si>
  <si>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</si>
  <si>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</si>
  <si>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</si>
  <si>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</si>
  <si>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</si>
  <si>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</si>
  <si>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</si>
  <si>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</si>
  <si>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</si>
  <si>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</si>
  <si>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</si>
  <si>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</si>
  <si>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</si>
  <si>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</si>
  <si>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</si>
  <si>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</si>
  <si>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</si>
  <si>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</si>
  <si>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</si>
  <si>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</si>
  <si>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</si>
  <si>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</si>
  <si>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</si>
  <si>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</si>
  <si>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</si>
  <si>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</si>
  <si>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</si>
  <si>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</si>
  <si>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</si>
  <si>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</si>
  <si>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</si>
  <si>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</si>
  <si>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</si>
  <si>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</si>
  <si>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</si>
  <si>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</si>
  <si>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</si>
  <si>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</si>
  <si>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</si>
  <si>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</si>
  <si>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</si>
  <si>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</si>
  <si>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</si>
  <si>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</si>
  <si>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</si>
  <si>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</si>
  <si>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</si>
  <si>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</si>
  <si>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</si>
  <si>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</si>
  <si>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</si>
  <si>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</si>
  <si>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</si>
  <si>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</si>
  <si>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</si>
  <si>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</si>
  <si>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</si>
  <si>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</si>
  <si>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</si>
  <si>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</si>
  <si>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</si>
  <si>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</si>
  <si>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</si>
  <si>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</si>
  <si>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</si>
  <si>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</si>
  <si>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</si>
  <si>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</si>
  <si>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</si>
  <si>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</si>
  <si>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</si>
  <si>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</si>
  <si>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</si>
  <si>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</si>
  <si>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</si>
  <si>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</si>
  <si>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</si>
  <si>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</si>
  <si>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</si>
  <si>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</si>
  <si>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</si>
  <si>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</si>
  <si>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</si>
  <si>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</si>
  <si>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</si>
  <si>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</si>
  <si>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</si>
  <si>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</si>
  <si>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</si>
  <si>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</si>
  <si>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</si>
  <si>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</si>
  <si>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</si>
  <si>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</si>
  <si>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</si>
  <si>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</si>
  <si>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</si>
  <si>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</si>
  <si>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</si>
  <si>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</si>
  <si>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</si>
  <si>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</si>
  <si>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</si>
  <si>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</si>
  <si>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</si>
  <si>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</si>
  <si>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</si>
  <si>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</si>
  <si>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</si>
  <si>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</si>
  <si>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</si>
  <si>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</si>
  <si>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</si>
  <si>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</si>
  <si>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</si>
  <si>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</si>
  <si>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</si>
  <si>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</si>
  <si>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</si>
  <si>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</si>
  <si>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</si>
  <si>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</si>
  <si>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</si>
  <si>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</si>
  <si>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</si>
  <si>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</si>
  <si>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</si>
  <si>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</si>
  <si>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</si>
  <si>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</si>
  <si>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</si>
  <si>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</si>
  <si>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</si>
  <si>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</si>
  <si>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</si>
  <si>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</si>
  <si>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</si>
  <si>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</si>
  <si>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</si>
  <si>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</si>
  <si>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</si>
  <si>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</si>
  <si>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</si>
  <si>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</si>
  <si>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</si>
  <si>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</si>
  <si>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</si>
  <si>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</si>
  <si>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</si>
  <si>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</si>
  <si>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</si>
  <si>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</si>
  <si>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</si>
  <si>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</si>
  <si>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</si>
  <si>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</si>
  <si>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</si>
  <si>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</si>
  <si>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</si>
  <si>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</si>
  <si>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</si>
  <si>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</si>
  <si>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</si>
  <si>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</si>
  <si>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</si>
  <si>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</si>
  <si>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</si>
  <si>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</si>
  <si>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</si>
  <si>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</si>
  <si>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</si>
  <si>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</si>
  <si>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</si>
  <si>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</si>
  <si>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</si>
  <si>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</si>
  <si>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</si>
  <si>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</si>
  <si>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</si>
  <si>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</si>
  <si>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</si>
  <si>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</si>
  <si>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</si>
  <si>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</si>
  <si>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</si>
  <si>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</si>
  <si>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</si>
  <si>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</si>
  <si>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</si>
  <si>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</si>
  <si>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</si>
  <si>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</si>
  <si>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</si>
  <si>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</si>
  <si>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</si>
  <si>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</si>
  <si>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</si>
  <si>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</si>
  <si>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</si>
  <si>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</si>
  <si>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</si>
  <si>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</si>
  <si>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</si>
  <si>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</si>
  <si>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</si>
  <si>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</si>
  <si>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</si>
  <si>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</si>
  <si>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</si>
  <si>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</si>
  <si>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</si>
  <si>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</si>
  <si>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</si>
  <si>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</si>
  <si>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</si>
  <si>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</si>
  <si>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</si>
  <si>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</si>
  <si>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</si>
  <si>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</si>
  <si>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</si>
  <si>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</si>
  <si>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</si>
  <si>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</si>
  <si>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</si>
  <si>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</si>
  <si>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</si>
  <si>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</si>
  <si>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</si>
  <si>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</si>
  <si>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</si>
  <si>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</si>
  <si>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</si>
  <si>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</si>
  <si>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</si>
  <si>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</si>
  <si>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</si>
  <si>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</si>
  <si>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</si>
  <si>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</si>
  <si>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</si>
  <si>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</si>
  <si>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</si>
  <si>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</si>
  <si>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</si>
  <si>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</si>
  <si>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</si>
  <si>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</si>
  <si>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</si>
  <si>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</si>
  <si>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</si>
  <si>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</si>
  <si>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</si>
  <si>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</si>
  <si>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</si>
  <si>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</si>
  <si>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</si>
  <si>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</si>
  <si>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</si>
  <si>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</si>
  <si>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</si>
  <si>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</si>
  <si>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</si>
  <si>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</si>
  <si>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</si>
  <si>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</si>
  <si>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</si>
  <si>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</si>
  <si>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</si>
  <si>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</si>
  <si>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</si>
  <si>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</si>
  <si>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</si>
  <si>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</si>
  <si>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</si>
  <si>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</si>
  <si>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</si>
  <si>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</si>
  <si>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</si>
  <si>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</si>
  <si>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</si>
  <si>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</si>
  <si>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</si>
  <si>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</si>
  <si>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</si>
  <si>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</si>
  <si>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</si>
  <si>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</si>
  <si>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</si>
  <si>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</si>
  <si>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</si>
  <si>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</si>
  <si>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</si>
  <si>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</si>
  <si>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</si>
  <si>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</si>
  <si>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</si>
  <si>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</si>
  <si>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</si>
  <si>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</si>
  <si>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</si>
  <si>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</si>
  <si>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</si>
  <si>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</si>
  <si>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</si>
  <si>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</si>
  <si>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</si>
  <si>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</si>
  <si>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</si>
  <si>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</si>
  <si>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</si>
  <si>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</si>
  <si>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</si>
  <si>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</si>
  <si>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</si>
  <si>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</si>
  <si>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</si>
  <si>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</si>
  <si>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</si>
  <si>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</si>
  <si>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</si>
  <si>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</si>
  <si>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</si>
  <si>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</si>
  <si>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</si>
  <si>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</si>
  <si>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</si>
  <si>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</si>
  <si>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</si>
  <si>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</si>
  <si>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</si>
  <si>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</si>
  <si>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</si>
  <si>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</si>
  <si>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</si>
  <si>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</si>
  <si>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</si>
  <si>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</si>
  <si>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</si>
  <si>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</si>
  <si>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</si>
  <si>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</si>
  <si>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</si>
  <si>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</si>
  <si>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</si>
  <si>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</si>
  <si>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</si>
  <si>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</si>
  <si>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</si>
  <si>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</si>
  <si>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</si>
  <si>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</si>
  <si>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</si>
  <si>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</si>
  <si>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</si>
  <si>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</si>
  <si>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</si>
  <si>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</si>
  <si>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</si>
  <si>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</si>
  <si>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</si>
  <si>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</si>
  <si>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</si>
  <si>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</si>
  <si>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</si>
  <si>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</si>
  <si>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</si>
  <si>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</si>
  <si>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</si>
  <si>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</si>
  <si>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</si>
  <si>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</si>
  <si>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</si>
  <si>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</si>
  <si>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</si>
  <si>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</si>
  <si>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</si>
  <si>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</si>
  <si>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</si>
  <si>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</si>
  <si>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</si>
  <si>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</si>
  <si>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</si>
  <si>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</si>
  <si>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</si>
  <si>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</si>
  <si>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</si>
  <si>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</si>
  <si>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</si>
  <si>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</si>
  <si>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</si>
  <si>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</si>
  <si>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</si>
  <si>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</si>
  <si>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</si>
  <si>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</si>
  <si>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</si>
  <si>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</si>
  <si>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</si>
  <si>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</si>
  <si>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</si>
  <si>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</si>
  <si>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</si>
  <si>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</si>
  <si>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</si>
  <si>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</si>
  <si>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</si>
  <si>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</si>
  <si>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</si>
  <si>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</si>
  <si>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</si>
  <si>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</si>
  <si>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</si>
  <si>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</si>
  <si>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</si>
  <si>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</si>
  <si>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</si>
  <si>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</si>
  <si>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</si>
  <si>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</si>
  <si>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</si>
  <si>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</si>
  <si>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</si>
  <si>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</si>
  <si>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</si>
  <si>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</si>
  <si>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</si>
  <si>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</si>
  <si>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</si>
  <si>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</si>
  <si>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</si>
  <si>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</si>
  <si>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</si>
  <si>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</si>
  <si>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</si>
  <si>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</si>
  <si>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</si>
  <si>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</si>
  <si>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</si>
  <si>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</si>
  <si>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</si>
  <si>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</si>
  <si>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</si>
  <si>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</si>
  <si>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</si>
  <si>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</si>
  <si>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</si>
  <si>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</si>
  <si>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</si>
  <si>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</si>
  <si>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</si>
  <si>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</si>
  <si>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</si>
  <si>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</si>
  <si>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</si>
  <si>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</si>
  <si>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</si>
  <si>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</si>
  <si>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</si>
  <si>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</si>
  <si>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</si>
  <si>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</si>
  <si>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</si>
  <si>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</si>
  <si>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</si>
  <si>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</si>
  <si>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</si>
  <si>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</si>
  <si>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</si>
  <si>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</si>
  <si>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</si>
  <si>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</si>
  <si>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</si>
  <si>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</si>
  <si>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</si>
  <si>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</si>
  <si>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</si>
  <si>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</si>
  <si>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</si>
  <si>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</si>
  <si>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</si>
  <si>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</si>
  <si>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</si>
  <si>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</si>
  <si>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</si>
  <si>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</si>
  <si>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</si>
  <si>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</si>
  <si>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</si>
  <si>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</si>
  <si>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</si>
  <si>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</si>
  <si>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</si>
  <si>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</si>
  <si>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</si>
  <si>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</si>
  <si>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</si>
  <si>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</si>
  <si>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</si>
  <si>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</si>
  <si>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</si>
  <si>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</si>
  <si>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</si>
  <si>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</si>
  <si>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</si>
  <si>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</si>
  <si>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</si>
  <si>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</si>
  <si>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</si>
  <si>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</si>
  <si>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</si>
  <si>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</si>
  <si>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</si>
  <si>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</si>
  <si>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</si>
  <si>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</si>
  <si>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</si>
  <si>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</si>
  <si>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</si>
  <si>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</si>
  <si>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</si>
  <si>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</si>
  <si>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</si>
  <si>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</si>
  <si>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</si>
  <si>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</si>
  <si>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</si>
  <si>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</si>
  <si>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</si>
  <si>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</si>
  <si>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</si>
  <si>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</si>
  <si>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</si>
  <si>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</si>
  <si>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</si>
  <si>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</si>
  <si>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</si>
  <si>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</si>
  <si>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</si>
  <si>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</si>
  <si>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</si>
  <si>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</si>
  <si>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</si>
  <si>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</si>
  <si>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</si>
  <si>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</si>
  <si>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</si>
  <si>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</si>
  <si>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</si>
  <si>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</si>
  <si>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</si>
  <si>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</si>
  <si>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</si>
  <si>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</si>
  <si>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</si>
  <si>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</si>
  <si>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</si>
  <si>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</si>
  <si>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</si>
  <si>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</si>
  <si>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</si>
  <si>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</si>
  <si>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</si>
  <si>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</si>
  <si>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</si>
  <si>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</si>
  <si>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</si>
  <si>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</si>
  <si>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</si>
  <si>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</si>
  <si>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</si>
  <si>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</si>
  <si>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</si>
  <si>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</si>
  <si>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</si>
  <si>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</si>
  <si>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</si>
  <si>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</si>
  <si>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</si>
  <si>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</si>
  <si>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</si>
  <si>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</si>
  <si>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</si>
  <si>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</si>
  <si>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</si>
  <si>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</si>
  <si>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</si>
  <si>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</si>
  <si>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</si>
  <si>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</si>
  <si>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</si>
  <si>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</si>
  <si>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</si>
  <si>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</si>
  <si>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</si>
  <si>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</si>
  <si>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</si>
  <si>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</si>
  <si>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</si>
  <si>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</si>
  <si>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</si>
  <si>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</si>
  <si>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</si>
  <si>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</si>
  <si>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</si>
  <si>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</si>
  <si>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</si>
  <si>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</si>
  <si>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</si>
  <si>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</si>
  <si>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</si>
  <si>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</si>
  <si>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</si>
  <si>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</si>
  <si>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</si>
  <si>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</si>
  <si>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</si>
  <si>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</si>
  <si>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</si>
  <si>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</si>
  <si>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</si>
  <si>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</si>
  <si>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</si>
  <si>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</si>
  <si>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</si>
  <si>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</si>
  <si>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</si>
  <si>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</si>
  <si>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</si>
  <si>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</si>
  <si>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</si>
  <si>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</si>
  <si>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</si>
  <si>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</si>
  <si>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</si>
  <si>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</si>
  <si>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</si>
  <si>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</si>
  <si>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</si>
  <si>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</si>
  <si>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</si>
  <si>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</si>
  <si>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</si>
  <si>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</si>
  <si>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</si>
  <si>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</si>
  <si>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</si>
  <si>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</si>
  <si>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</si>
  <si>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</si>
  <si>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</si>
  <si>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</si>
  <si>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</si>
  <si>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</si>
  <si>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</si>
  <si>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</si>
  <si>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</si>
  <si>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</si>
  <si>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</si>
  <si>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</si>
  <si>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</si>
  <si>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</si>
  <si>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</si>
  <si>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</si>
  <si>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</si>
  <si>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</si>
  <si>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</si>
  <si>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</si>
  <si>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</si>
  <si>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</si>
  <si>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</si>
  <si>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</si>
  <si>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</si>
  <si>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</si>
  <si>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</si>
  <si>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</si>
  <si>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</si>
  <si>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</si>
  <si>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</si>
  <si>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</si>
  <si>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</si>
  <si>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</si>
  <si>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</si>
  <si>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</si>
  <si>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</si>
  <si>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</si>
  <si>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</si>
  <si>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</si>
  <si>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</si>
  <si>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</si>
  <si>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</si>
  <si>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</si>
  <si>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</si>
  <si>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</si>
  <si>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</si>
  <si>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</si>
  <si>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</si>
  <si>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</si>
  <si>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</si>
  <si>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</si>
  <si>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</si>
  <si>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</si>
  <si>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</si>
  <si>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</si>
  <si>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</si>
  <si>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</si>
  <si>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</si>
  <si>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</si>
  <si>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</si>
  <si>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</si>
  <si>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</si>
  <si>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</si>
  <si>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</si>
  <si>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</si>
  <si>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</si>
  <si>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</si>
  <si>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</si>
  <si>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</si>
  <si>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</si>
  <si>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</si>
  <si>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</si>
  <si>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</si>
  <si>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</si>
  <si>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</si>
  <si>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</si>
  <si>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</si>
  <si>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</si>
  <si>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</si>
  <si>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</si>
  <si>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</si>
  <si>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</si>
  <si>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</si>
  <si>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</si>
  <si>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</si>
  <si>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</si>
  <si>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</si>
  <si>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</si>
  <si>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</si>
  <si>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</si>
  <si>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</si>
  <si>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</si>
  <si>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</si>
  <si>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</si>
  <si>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</si>
  <si>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</si>
  <si>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</si>
  <si>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</si>
  <si>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</si>
  <si>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</si>
  <si>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</si>
  <si>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</si>
  <si>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</si>
  <si>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</si>
  <si>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</si>
  <si>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</si>
  <si>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</si>
  <si>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</si>
  <si>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</si>
  <si>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</si>
  <si>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</si>
  <si>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</si>
  <si>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</si>
  <si>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</si>
  <si>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</si>
  <si>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</si>
  <si>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</si>
  <si>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</si>
  <si>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</si>
  <si>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</si>
  <si>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</si>
  <si>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</si>
  <si>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</si>
  <si>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</si>
  <si>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</si>
  <si>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</si>
  <si>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</si>
  <si>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</si>
  <si>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</si>
  <si>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</si>
  <si>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</si>
  <si>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</si>
  <si>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</si>
  <si>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</si>
  <si>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</si>
  <si>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</si>
  <si>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</si>
  <si>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</si>
  <si>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</si>
  <si>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</si>
  <si>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</si>
  <si>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</si>
  <si>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</si>
  <si>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</si>
  <si>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</si>
  <si>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</si>
  <si>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</si>
  <si>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</si>
  <si>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</si>
  <si>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</si>
  <si>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</si>
  <si>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</si>
  <si>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</si>
  <si>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</si>
  <si>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</si>
  <si>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</si>
  <si>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</si>
  <si>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</si>
  <si>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</si>
  <si>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</si>
  <si>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</si>
  <si>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</si>
  <si>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</si>
  <si>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</si>
  <si>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</si>
  <si>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</si>
  <si>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</si>
  <si>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</si>
  <si>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</si>
  <si>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</si>
  <si>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</si>
  <si>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</si>
  <si>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</si>
  <si>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</si>
  <si>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</si>
  <si>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</si>
  <si>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</si>
  <si>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</si>
  <si>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</si>
  <si>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</si>
  <si>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</si>
  <si>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</si>
  <si>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</si>
  <si>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</si>
  <si>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</si>
  <si>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</si>
  <si>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</si>
  <si>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</si>
  <si>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</si>
  <si>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</si>
  <si>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</si>
  <si>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</si>
  <si>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</si>
  <si>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</si>
  <si>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</si>
  <si>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</si>
  <si>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</si>
  <si>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</si>
  <si>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</si>
  <si>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</si>
  <si>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</si>
  <si>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</si>
  <si>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</si>
  <si>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</si>
  <si>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</si>
  <si>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</si>
  <si>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</si>
  <si>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</si>
  <si>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</si>
  <si>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</si>
  <si>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</si>
  <si>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</si>
  <si>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</si>
  <si>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</si>
  <si>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</si>
  <si>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</si>
  <si>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</si>
  <si>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</si>
  <si>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</si>
  <si>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</si>
  <si>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</si>
  <si>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</si>
  <si>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</si>
  <si>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</si>
  <si>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</si>
  <si>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</si>
  <si>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</si>
  <si>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</si>
  <si>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</si>
  <si>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</si>
  <si>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</si>
  <si>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</si>
  <si>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</si>
  <si>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</si>
  <si>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</si>
  <si>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</si>
  <si>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</si>
  <si>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</si>
  <si>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</si>
  <si>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</si>
  <si>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</si>
  <si>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</si>
  <si>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</si>
  <si>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</si>
  <si>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</si>
  <si>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</si>
  <si>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</si>
  <si>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</si>
  <si>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</si>
  <si>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</si>
  <si>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</si>
  <si>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</si>
  <si>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</si>
  <si>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</si>
  <si>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</si>
  <si>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</si>
  <si>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</si>
  <si>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</si>
  <si>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</si>
  <si>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</si>
  <si>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</si>
  <si>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</si>
  <si>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</si>
  <si>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</si>
  <si>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</si>
  <si>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</si>
  <si>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</si>
  <si>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</si>
  <si>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</si>
  <si>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</si>
  <si>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</si>
  <si>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</si>
  <si>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</si>
  <si>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</si>
  <si>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</si>
  <si>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</si>
  <si>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</si>
  <si>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</si>
  <si>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</si>
  <si>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</si>
  <si>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</si>
  <si>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</si>
  <si>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</si>
  <si>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</si>
  <si>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</si>
  <si>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</si>
  <si>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</si>
  <si>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</si>
  <si>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</si>
  <si>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</si>
  <si>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</si>
  <si>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</si>
  <si>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</si>
  <si>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</si>
  <si>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</si>
  <si>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</si>
  <si>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</si>
  <si>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</si>
  <si>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</si>
  <si>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</si>
  <si>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</si>
  <si>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</si>
  <si>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</si>
  <si>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</si>
  <si>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</si>
  <si>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</si>
  <si>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</si>
  <si>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</si>
  <si>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</si>
  <si>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</si>
  <si>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</si>
  <si>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</si>
  <si>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</si>
  <si>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</si>
  <si>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</si>
  <si>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</si>
  <si>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</si>
  <si>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</si>
  <si>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</si>
  <si>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</si>
  <si>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</si>
  <si>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</si>
  <si>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</si>
  <si>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</si>
  <si>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</si>
  <si>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</si>
  <si>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</si>
  <si>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</si>
  <si>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</si>
  <si>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</si>
  <si>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</si>
  <si>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</si>
  <si>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</si>
  <si>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</si>
  <si>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</si>
  <si>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</si>
  <si>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</si>
  <si>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</si>
  <si>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</si>
  <si>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</si>
  <si>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</si>
  <si>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</si>
  <si>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</si>
  <si>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</si>
  <si>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</si>
  <si>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</si>
  <si>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</si>
  <si>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</si>
  <si>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</si>
  <si>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</si>
  <si>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</si>
  <si>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</si>
  <si>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</si>
  <si>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</si>
  <si>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</si>
  <si>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</si>
  <si>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</si>
  <si>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</si>
  <si>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</si>
  <si>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</si>
  <si>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</si>
  <si>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</si>
  <si>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</si>
  <si>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</si>
  <si>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</si>
  <si>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</si>
  <si>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</si>
  <si>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</si>
  <si>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</si>
  <si>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</si>
  <si>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</si>
  <si>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</si>
  <si>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</si>
  <si>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</si>
  <si>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</si>
  <si>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</si>
  <si>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</si>
  <si>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</si>
  <si>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</si>
  <si>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</si>
  <si>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</si>
  <si>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</si>
  <si>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</si>
  <si>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</si>
  <si>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</si>
  <si>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</si>
  <si>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</si>
  <si>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</si>
  <si>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</si>
  <si>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</si>
  <si>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</si>
  <si>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</si>
  <si>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</si>
  <si>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</si>
  <si>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</si>
  <si>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</si>
  <si>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</si>
  <si>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</si>
  <si>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</si>
  <si>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</si>
  <si>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</si>
  <si>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</si>
  <si>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</si>
  <si>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</si>
  <si>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</si>
  <si>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</si>
  <si>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</si>
  <si>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</si>
  <si>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</si>
  <si>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</si>
  <si>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</si>
  <si>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</si>
  <si>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</si>
  <si>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</si>
  <si>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</si>
  <si>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</si>
  <si>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</si>
  <si>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</si>
  <si>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</si>
  <si>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</si>
  <si>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</si>
  <si>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</si>
  <si>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</si>
  <si>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</si>
  <si>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</si>
  <si>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</si>
  <si>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</si>
  <si>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</si>
  <si>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</si>
  <si>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</si>
  <si>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</si>
  <si>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</si>
  <si>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</si>
  <si>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</si>
  <si>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</si>
  <si>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</si>
  <si>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</si>
  <si>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</si>
  <si>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</si>
  <si>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</si>
  <si>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</si>
  <si>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</si>
  <si>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</si>
  <si>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</si>
  <si>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</si>
  <si>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</si>
  <si>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</si>
  <si>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</si>
  <si>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</si>
  <si>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</si>
  <si>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</si>
  <si>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</si>
  <si>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</si>
  <si>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</si>
  <si>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</si>
  <si>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</si>
  <si>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</si>
  <si>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</si>
  <si>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</si>
  <si>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</si>
  <si>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</si>
  <si>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</si>
  <si>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</si>
  <si>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</si>
  <si>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</si>
  <si>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</si>
  <si>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</si>
  <si>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</si>
  <si>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</si>
  <si>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</si>
  <si>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</si>
  <si>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</si>
  <si>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</si>
  <si>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</si>
  <si>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</si>
  <si>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</si>
  <si>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</si>
  <si>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</si>
  <si>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</si>
  <si>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</si>
  <si>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</si>
  <si>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</si>
  <si>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</si>
  <si>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</si>
  <si>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</si>
  <si>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</si>
  <si>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</si>
  <si>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</si>
  <si>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</si>
  <si>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</si>
  <si>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</si>
  <si>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</si>
  <si>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</si>
  <si>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</si>
  <si>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</si>
  <si>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</si>
  <si>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</si>
  <si>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</si>
  <si>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</si>
  <si>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</si>
  <si>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</si>
  <si>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</si>
  <si>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</si>
  <si>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</si>
  <si>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</si>
  <si>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</si>
  <si>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</si>
  <si>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</si>
  <si>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</si>
  <si>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</si>
  <si>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</si>
  <si>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</si>
  <si>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</si>
  <si>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</si>
  <si>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</si>
  <si>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</si>
  <si>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</si>
  <si>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</si>
  <si>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</si>
  <si>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</si>
  <si>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</si>
  <si>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</si>
  <si>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</si>
  <si>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</si>
  <si>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</si>
  <si>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</si>
  <si>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</si>
  <si>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</si>
  <si>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</si>
  <si>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</si>
  <si>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</si>
  <si>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</si>
  <si>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</si>
  <si>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</si>
  <si>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</si>
  <si>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</si>
  <si>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</si>
  <si>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</si>
  <si>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</si>
  <si>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</si>
  <si>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</si>
  <si>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</si>
  <si>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</si>
  <si>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</si>
  <si>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</si>
  <si>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</si>
  <si>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</si>
  <si>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</si>
  <si>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</si>
  <si>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</si>
  <si>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</si>
  <si>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</si>
  <si>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</si>
  <si>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</si>
  <si>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</si>
  <si>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</si>
  <si>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</si>
  <si>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</si>
  <si>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</si>
  <si>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</si>
  <si>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</si>
  <si>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</si>
  <si>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</si>
  <si>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</si>
  <si>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</si>
  <si>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</si>
  <si>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</si>
  <si>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</si>
  <si>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</si>
  <si>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</si>
  <si>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</si>
  <si>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</si>
  <si>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</si>
  <si>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</si>
  <si>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</si>
  <si>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</si>
  <si>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</si>
  <si>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</si>
  <si>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</si>
  <si>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</si>
  <si>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</si>
  <si>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</si>
  <si>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</si>
  <si>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</si>
  <si>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</si>
  <si>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</si>
  <si>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</si>
  <si>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</si>
  <si>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</si>
  <si>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</si>
  <si>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</si>
  <si>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</si>
  <si>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</si>
  <si>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</si>
  <si>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</si>
  <si>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</si>
  <si>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</si>
  <si>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</si>
  <si>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</si>
  <si>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</si>
  <si>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</si>
  <si>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</si>
  <si>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</si>
  <si>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</si>
  <si>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</si>
  <si>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</si>
  <si>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</si>
  <si>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</si>
  <si>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</si>
  <si>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</si>
  <si>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</si>
  <si>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</si>
  <si>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</si>
  <si>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</si>
  <si>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</si>
  <si>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</si>
  <si>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</si>
  <si>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</si>
  <si>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</si>
  <si>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</si>
  <si>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</si>
  <si>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</si>
  <si>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</si>
  <si>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</si>
  <si>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</si>
  <si>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</si>
  <si>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</si>
  <si>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</si>
  <si>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</si>
  <si>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</si>
  <si>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</si>
  <si>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</si>
  <si>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</si>
  <si>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</si>
  <si>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</si>
  <si>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</si>
  <si>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</si>
  <si>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</si>
  <si>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</si>
  <si>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</si>
  <si>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</si>
  <si>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</si>
  <si>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</si>
  <si>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</si>
  <si>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</si>
  <si>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</si>
  <si>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</si>
  <si>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</si>
  <si>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</si>
  <si>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</si>
  <si>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</si>
  <si>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</si>
  <si>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</si>
  <si>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</si>
  <si>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</si>
  <si>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</si>
  <si>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</si>
  <si>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</si>
  <si>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</si>
  <si>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</si>
  <si>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</si>
  <si>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</si>
  <si>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</si>
  <si>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</si>
  <si>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</si>
  <si>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</si>
  <si>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</si>
  <si>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</si>
  <si>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</si>
  <si>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</si>
  <si>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</si>
  <si>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</si>
  <si>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</si>
  <si>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</si>
  <si>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</si>
  <si>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</si>
  <si>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</si>
  <si>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</si>
  <si>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</si>
  <si>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</si>
  <si>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</si>
  <si>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</si>
  <si>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</si>
  <si>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</si>
  <si>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</si>
  <si>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</si>
  <si>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</si>
  <si>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</si>
  <si>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</si>
  <si>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</si>
  <si>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</si>
  <si>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</si>
  <si>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</si>
  <si>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</si>
  <si>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</si>
  <si>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</si>
  <si>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</si>
  <si>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</si>
  <si>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</si>
  <si>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</si>
  <si>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</si>
  <si>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</si>
  <si>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</si>
  <si>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</si>
  <si>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</si>
  <si>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</si>
  <si>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</si>
  <si>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</si>
  <si>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</si>
  <si>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</si>
  <si>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</si>
  <si>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</si>
  <si>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</si>
  <si>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</si>
  <si>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</si>
  <si>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</si>
  <si>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</si>
  <si>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</si>
  <si>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</si>
  <si>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</si>
  <si>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</si>
  <si>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</si>
  <si>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</si>
  <si>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</si>
  <si>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</si>
  <si>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</si>
  <si>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</si>
  <si>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</si>
  <si>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</si>
  <si>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</si>
  <si>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</si>
  <si>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</si>
  <si>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</si>
  <si>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</si>
  <si>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</si>
  <si>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</si>
  <si>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</si>
  <si>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</si>
  <si>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</si>
  <si>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</si>
  <si>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</si>
  <si>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</si>
  <si>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</si>
  <si>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</si>
  <si>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</si>
  <si>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</si>
  <si>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</si>
  <si>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</si>
  <si>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</si>
  <si>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</si>
  <si>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</si>
  <si>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</si>
  <si>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</si>
  <si>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</si>
  <si>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</si>
  <si>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</si>
  <si>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</si>
  <si>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</si>
  <si>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</si>
  <si>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</si>
  <si>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</si>
  <si>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</si>
  <si>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</si>
  <si>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</si>
  <si>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</si>
  <si>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</si>
  <si>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</si>
  <si>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</si>
  <si>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</si>
  <si>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</si>
  <si>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</si>
  <si>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</si>
  <si>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</si>
  <si>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</si>
  <si>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</si>
  <si>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</si>
  <si>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</si>
  <si>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</si>
  <si>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</si>
  <si>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</si>
  <si>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</si>
  <si>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</si>
  <si>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</si>
  <si>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</si>
  <si>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</si>
  <si>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</si>
  <si>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</si>
  <si>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</si>
  <si>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</si>
  <si>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</si>
  <si>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</si>
  <si>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</si>
  <si>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</si>
  <si>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</si>
  <si>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</si>
  <si>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</si>
  <si>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</si>
  <si>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</si>
  <si>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</si>
  <si>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</si>
  <si>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</si>
  <si>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</si>
  <si>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</si>
  <si>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</si>
  <si>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</si>
  <si>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</si>
  <si>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</si>
  <si>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</si>
  <si>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</si>
  <si>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</si>
  <si>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</si>
  <si>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</si>
  <si>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</si>
  <si>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</si>
  <si>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</si>
  <si>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</si>
  <si>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</si>
  <si>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</si>
  <si>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</si>
  <si>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</si>
  <si>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</si>
  <si>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</si>
  <si>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</si>
  <si>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</si>
  <si>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</si>
  <si>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</si>
  <si>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</si>
  <si>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</si>
  <si>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</si>
  <si>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</si>
  <si>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</si>
  <si>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</si>
  <si>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</si>
  <si>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</si>
  <si>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</si>
  <si>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</si>
  <si>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</si>
  <si>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</si>
  <si>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</si>
  <si>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</si>
  <si>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</si>
  <si>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</si>
  <si>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</si>
  <si>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</si>
  <si>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</si>
  <si>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</si>
  <si>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</si>
  <si>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</si>
  <si>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</si>
  <si>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</si>
  <si>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</si>
  <si>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</si>
  <si>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</si>
  <si>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</si>
  <si>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</si>
  <si>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</si>
  <si>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</si>
  <si>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</si>
  <si>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</si>
  <si>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</si>
  <si>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</si>
  <si>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</si>
  <si>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</si>
  <si>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</si>
  <si>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</si>
  <si>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</si>
  <si>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</si>
  <si>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</si>
  <si>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</si>
  <si>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</si>
  <si>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</si>
  <si>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</si>
  <si>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</si>
  <si>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</si>
  <si>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</si>
  <si>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</si>
  <si>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</si>
  <si>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</si>
  <si>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</si>
  <si>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</si>
  <si>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</si>
  <si>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</si>
  <si>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</si>
  <si>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</si>
  <si>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</si>
  <si>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</si>
  <si>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</si>
  <si>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</si>
  <si>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</si>
  <si>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</si>
  <si>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</si>
  <si>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</si>
  <si>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</si>
  <si>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</si>
  <si>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</si>
  <si>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</si>
  <si>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</si>
  <si>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</si>
  <si>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</si>
  <si>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</si>
  <si>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</si>
  <si>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</si>
  <si>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</si>
  <si>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</si>
  <si>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</si>
  <si>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</si>
  <si>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</si>
  <si>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</si>
  <si>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</si>
  <si>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</si>
  <si>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</si>
  <si>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</si>
  <si>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</si>
  <si>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</si>
  <si>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</si>
  <si>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</si>
  <si>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</si>
  <si>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</si>
  <si>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</si>
  <si>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</si>
  <si>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</si>
  <si>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</si>
  <si>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</si>
  <si>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</si>
  <si>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</si>
  <si>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</si>
  <si>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</si>
  <si>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</si>
  <si>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</si>
  <si>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</si>
  <si>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</si>
  <si>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</si>
  <si>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</si>
  <si>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</si>
  <si>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</si>
  <si>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</si>
  <si>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</si>
  <si>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</si>
  <si>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</si>
  <si>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</si>
  <si>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</si>
  <si>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</si>
  <si>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</si>
  <si>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</si>
  <si>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</si>
  <si>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</si>
  <si>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</si>
  <si>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</si>
  <si>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</si>
  <si>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</si>
  <si>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</si>
  <si>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</si>
  <si>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</si>
  <si>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</si>
  <si>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</si>
  <si>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</si>
  <si>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</si>
  <si>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</si>
  <si>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</si>
  <si>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</si>
  <si>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</si>
  <si>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</si>
  <si>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</si>
  <si>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</si>
  <si>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</si>
  <si>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</si>
  <si>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</si>
  <si>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</si>
  <si>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</si>
  <si>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</si>
  <si>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</si>
  <si>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</si>
  <si>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</si>
  <si>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</si>
  <si>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</si>
  <si>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</si>
  <si>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</si>
  <si>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</si>
  <si>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</si>
  <si>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</si>
  <si>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</si>
  <si>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</si>
  <si>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</si>
  <si>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</si>
  <si>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</si>
  <si>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</si>
  <si>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</si>
  <si>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</si>
  <si>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</si>
  <si>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</si>
  <si>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</si>
  <si>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</si>
  <si>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</si>
  <si>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</si>
  <si>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</si>
  <si>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</si>
  <si>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</si>
  <si>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</si>
  <si>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</si>
  <si>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</si>
  <si>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</si>
  <si>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</si>
  <si>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</si>
  <si>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</si>
  <si>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</si>
  <si>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</si>
  <si>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</si>
  <si>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</si>
  <si>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</si>
  <si>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</si>
  <si>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</si>
  <si>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</si>
  <si>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</si>
  <si>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</si>
  <si>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</si>
  <si>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</si>
  <si>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</si>
  <si>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</si>
  <si>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</si>
  <si>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</si>
  <si>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</si>
  <si>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</si>
  <si>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</si>
  <si>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</si>
  <si>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</si>
  <si>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</si>
  <si>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</si>
  <si>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</si>
  <si>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</si>
  <si>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</si>
  <si>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</si>
  <si>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</si>
  <si>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</si>
  <si>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</si>
  <si>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</si>
  <si>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</si>
  <si>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</si>
  <si>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</si>
  <si>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</si>
  <si>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</si>
  <si>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</si>
  <si>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</si>
  <si>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</si>
  <si>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</si>
  <si>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</si>
  <si>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</si>
  <si>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</si>
  <si>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</si>
  <si>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</si>
  <si>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</si>
  <si>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</si>
  <si>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</si>
  <si>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</si>
  <si>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</si>
  <si>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</si>
  <si>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</si>
  <si>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</si>
  <si>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</si>
  <si>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</si>
  <si>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</si>
  <si>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</si>
  <si>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</si>
  <si>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</si>
  <si>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</si>
  <si>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</si>
  <si>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</si>
  <si>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</si>
  <si>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</si>
  <si>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</si>
  <si>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</si>
  <si>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</si>
  <si>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</si>
  <si>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</si>
  <si>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</si>
  <si>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</si>
  <si>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</si>
  <si>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</si>
  <si>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</si>
  <si>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</si>
  <si>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</si>
  <si>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</si>
  <si>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</si>
  <si>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</si>
  <si>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</si>
  <si>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</si>
  <si>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</si>
  <si>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</si>
  <si>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</si>
  <si>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</si>
  <si>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</si>
  <si>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</si>
  <si>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</si>
  <si>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</si>
  <si>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</si>
  <si>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</si>
  <si>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</si>
  <si>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</si>
  <si>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</si>
  <si>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</si>
  <si>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</si>
  <si>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</si>
  <si>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</si>
  <si>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</si>
  <si>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</si>
  <si>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</si>
  <si>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</si>
  <si>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</si>
  <si>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</si>
  <si>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</si>
  <si>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</si>
  <si>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</si>
  <si>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</si>
  <si>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</si>
  <si>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</si>
  <si>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</si>
  <si>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</si>
  <si>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</si>
  <si>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</si>
  <si>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</si>
  <si>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</si>
  <si>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</si>
  <si>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</si>
  <si>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</si>
  <si>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</si>
  <si>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</si>
  <si>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</si>
  <si>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</si>
  <si>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</si>
  <si>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</si>
  <si>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</si>
  <si>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</si>
  <si>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</si>
  <si>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</si>
  <si>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</si>
  <si>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</si>
  <si>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</si>
  <si>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</si>
  <si>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</si>
  <si>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</si>
  <si>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</si>
  <si>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</si>
  <si>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</si>
  <si>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</si>
  <si>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</si>
  <si>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</si>
  <si>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</si>
  <si>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</si>
  <si>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</si>
  <si>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</si>
  <si>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</si>
  <si>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</si>
  <si>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</si>
  <si>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</si>
  <si>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</si>
  <si>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</si>
  <si>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</si>
  <si>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</si>
  <si>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</si>
  <si>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</si>
  <si>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</si>
  <si>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</si>
  <si>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</si>
  <si>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</si>
  <si>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</si>
  <si>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</si>
  <si>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</si>
  <si>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</si>
  <si>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</si>
  <si>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</si>
  <si>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</si>
  <si>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</si>
  <si>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</si>
  <si>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</si>
  <si>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</si>
  <si>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</si>
  <si>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</si>
  <si>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</si>
  <si>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</si>
  <si>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</si>
  <si>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</si>
  <si>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</si>
  <si>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</si>
  <si>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</si>
  <si>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</si>
  <si>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</si>
  <si>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</si>
  <si>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</si>
  <si>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</si>
  <si>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</si>
  <si>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</si>
  <si>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</si>
  <si>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</si>
  <si>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</si>
  <si>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</si>
  <si>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</si>
  <si>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</si>
  <si>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</si>
  <si>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</si>
  <si>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</si>
  <si>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</si>
  <si>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</si>
  <si>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</si>
  <si>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</si>
  <si>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</si>
  <si>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</si>
  <si>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</si>
  <si>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</si>
  <si>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</si>
  <si>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</si>
  <si>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</si>
  <si>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</si>
  <si>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</si>
  <si>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</si>
  <si>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</si>
  <si>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</si>
  <si>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</si>
  <si>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</si>
  <si>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</si>
  <si>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</si>
  <si>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</si>
  <si>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</si>
  <si>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</si>
  <si>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</si>
  <si>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</si>
  <si>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</si>
  <si>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</si>
  <si>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</si>
  <si>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</si>
  <si>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</si>
  <si>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</si>
  <si>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</si>
  <si>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</si>
  <si>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</si>
  <si>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</si>
  <si>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</si>
  <si>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</si>
  <si>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</si>
  <si>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</si>
  <si>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</si>
  <si>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</si>
  <si>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</si>
  <si>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</si>
  <si>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</si>
  <si>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</si>
  <si>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</si>
  <si>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</si>
  <si>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</si>
  <si>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</si>
  <si>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</si>
  <si>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</si>
  <si>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</si>
  <si>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</si>
  <si>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</si>
  <si>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</si>
  <si>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</si>
  <si>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</si>
  <si>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</si>
  <si>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</si>
  <si>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</si>
  <si>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</si>
  <si>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</si>
  <si>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</si>
  <si>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</si>
  <si>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</si>
  <si>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</si>
  <si>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</si>
  <si>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</si>
  <si>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</si>
  <si>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</si>
  <si>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</si>
  <si>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</si>
  <si>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</si>
  <si>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</si>
  <si>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</si>
  <si>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</si>
  <si>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</si>
  <si>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</si>
  <si>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</si>
  <si>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</si>
  <si>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</si>
  <si>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</si>
  <si>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</si>
  <si>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</si>
  <si>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</si>
  <si>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</si>
  <si>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</si>
  <si>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</si>
  <si>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</si>
  <si>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</si>
  <si>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</si>
  <si>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</si>
  <si>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</si>
  <si>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</si>
  <si>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</si>
  <si>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</si>
  <si>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</si>
  <si>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</si>
  <si>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</si>
  <si>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</si>
  <si>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</si>
  <si>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</si>
  <si>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</si>
  <si>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</si>
  <si>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</si>
  <si>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</si>
  <si>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</si>
  <si>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</si>
  <si>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</si>
  <si>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</si>
  <si>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</si>
  <si>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</si>
  <si>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</si>
  <si>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</si>
  <si>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</si>
  <si>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</si>
  <si>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</si>
  <si>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</si>
  <si>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</si>
  <si>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</si>
  <si>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</si>
  <si>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</si>
  <si>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</si>
  <si>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</si>
  <si>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</si>
  <si>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</si>
  <si>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</si>
  <si>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</si>
  <si>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</si>
  <si>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</si>
  <si>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</si>
  <si>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</si>
  <si>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</si>
  <si>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</si>
  <si>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</si>
  <si>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</si>
  <si>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</si>
  <si>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</si>
  <si>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</si>
  <si>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</si>
  <si>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</si>
  <si>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</si>
  <si>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</si>
  <si>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</si>
  <si>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</si>
  <si>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</si>
  <si>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</si>
  <si>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</si>
  <si>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</si>
  <si>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</si>
  <si>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</si>
  <si>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</si>
  <si>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</si>
  <si>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</si>
  <si>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</si>
  <si>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</si>
  <si>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</si>
  <si>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</si>
  <si>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</si>
  <si>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</si>
  <si>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</si>
  <si>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</si>
  <si>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</si>
  <si>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</si>
  <si>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</si>
  <si>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</si>
  <si>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</si>
  <si>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</si>
  <si>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</si>
  <si>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</si>
  <si>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</si>
  <si>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</si>
  <si>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</si>
  <si>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</si>
  <si>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</si>
  <si>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</si>
  <si>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</si>
  <si>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</si>
  <si>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</si>
  <si>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</si>
  <si>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</si>
  <si>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</si>
  <si>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</si>
  <si>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</si>
  <si>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</si>
  <si>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</si>
  <si>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</si>
  <si>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</si>
  <si>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</si>
  <si>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</si>
  <si>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</si>
  <si>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</si>
  <si>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</si>
  <si>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</si>
  <si>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</si>
  <si>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</si>
  <si>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</si>
  <si>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</si>
  <si>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</si>
  <si>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</si>
  <si>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</si>
  <si>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</si>
  <si>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</si>
  <si>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</si>
  <si>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</si>
  <si>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</si>
  <si>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</si>
  <si>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</si>
  <si>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</si>
  <si>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</si>
  <si>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</si>
  <si>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</si>
  <si>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</si>
  <si>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</si>
  <si>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</si>
  <si>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</si>
  <si>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</si>
  <si>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</si>
  <si>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</si>
  <si>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</si>
  <si>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</si>
  <si>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</si>
  <si>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</si>
  <si>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</si>
  <si>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</si>
  <si>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</si>
  <si>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</si>
  <si>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</si>
  <si>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</si>
  <si>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</si>
  <si>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</si>
  <si>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</si>
  <si>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</si>
  <si>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</si>
  <si>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</si>
  <si>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</si>
  <si>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</si>
  <si>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</si>
  <si>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</si>
  <si>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</si>
  <si>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</si>
  <si>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</si>
  <si>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</si>
  <si>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</si>
  <si>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</si>
  <si>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</si>
  <si>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</si>
  <si>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</si>
  <si>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</si>
  <si>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</si>
  <si>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</si>
  <si>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</si>
  <si>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</si>
  <si>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</si>
  <si>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</si>
  <si>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</si>
  <si>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</si>
  <si>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</si>
  <si>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</si>
  <si>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</si>
  <si>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</si>
  <si>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</si>
  <si>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</si>
  <si>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</si>
  <si>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</si>
  <si>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</si>
  <si>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</si>
  <si>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</si>
  <si>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</si>
  <si>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</si>
  <si>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</si>
  <si>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</si>
  <si>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</si>
  <si>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</si>
  <si>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</si>
  <si>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</si>
  <si>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</si>
  <si>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</si>
  <si>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</si>
  <si>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</si>
  <si>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</si>
  <si>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</si>
  <si>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</si>
  <si>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</si>
  <si>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</si>
  <si>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</si>
  <si>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</si>
  <si>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</si>
  <si>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</si>
  <si>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</si>
  <si>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</si>
  <si>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</si>
  <si>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</si>
  <si>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</si>
  <si>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</si>
  <si>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</si>
  <si>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</si>
  <si>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</si>
  <si>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</si>
  <si>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</si>
  <si>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</si>
  <si>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</si>
  <si>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</si>
  <si>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</si>
  <si>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</si>
  <si>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</si>
  <si>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</si>
  <si>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</si>
  <si>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</si>
  <si>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</si>
  <si>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</si>
  <si>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</si>
  <si>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</si>
  <si>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</si>
  <si>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</si>
  <si>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</si>
  <si>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</si>
  <si>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</si>
  <si>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</si>
  <si>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</si>
  <si>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</si>
  <si>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</si>
  <si>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</si>
  <si>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</si>
  <si>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</si>
  <si>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</si>
  <si>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</si>
  <si>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</si>
  <si>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</si>
  <si>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</si>
  <si>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</si>
  <si>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</si>
  <si>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</si>
  <si>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</si>
  <si>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</si>
  <si>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</si>
  <si>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</si>
  <si>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</si>
  <si>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</si>
  <si>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</si>
  <si>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</si>
  <si>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</si>
  <si>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</si>
  <si>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</si>
  <si>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</si>
  <si>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</si>
  <si>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</si>
  <si>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</si>
  <si>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</si>
  <si>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</si>
  <si>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</si>
  <si>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</si>
  <si>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</si>
  <si>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</si>
  <si>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</si>
  <si>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</si>
  <si>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</si>
  <si>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</si>
  <si>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</si>
  <si>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</si>
  <si>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</si>
  <si>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</si>
  <si>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</si>
  <si>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</si>
  <si>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</si>
  <si>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</si>
  <si>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</si>
  <si>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</si>
  <si>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</si>
  <si>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</si>
  <si>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</si>
  <si>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</si>
  <si>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</si>
  <si>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</si>
  <si>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</si>
  <si>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</si>
  <si>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</si>
  <si>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</si>
  <si>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</si>
  <si>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</si>
  <si>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</si>
  <si>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</si>
  <si>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</si>
  <si>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</si>
  <si>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</si>
  <si>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</si>
  <si>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</si>
  <si>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</si>
  <si>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</si>
  <si>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</si>
  <si>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</si>
  <si>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</si>
  <si>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</si>
  <si>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</si>
  <si>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</si>
  <si>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</si>
  <si>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</si>
  <si>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</si>
  <si>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</si>
  <si>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</si>
  <si>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</si>
  <si>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</si>
  <si>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</si>
  <si>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</si>
  <si>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</si>
  <si>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</si>
  <si>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</si>
  <si>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</si>
  <si>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</si>
  <si>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</si>
  <si>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</si>
  <si>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</si>
  <si>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</si>
  <si>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</si>
  <si>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</si>
  <si>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</si>
  <si>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</si>
  <si>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</si>
  <si>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</si>
  <si>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</si>
  <si>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</si>
  <si>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</si>
  <si>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</si>
  <si>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</si>
  <si>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</si>
  <si>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</si>
  <si>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</si>
  <si>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</si>
  <si>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</si>
  <si>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</si>
  <si>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</si>
  <si>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</si>
  <si>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</si>
  <si>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</si>
  <si>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</si>
  <si>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</si>
  <si>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</si>
  <si>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</si>
  <si>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</si>
  <si>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</si>
  <si>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</si>
  <si>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</si>
  <si>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</si>
  <si>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</si>
  <si>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</si>
  <si>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</si>
  <si>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</si>
  <si>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</si>
  <si>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</si>
  <si>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</si>
  <si>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</si>
  <si>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</si>
  <si>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</si>
  <si>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</si>
  <si>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</si>
  <si>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</si>
  <si>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</si>
  <si>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</si>
  <si>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</si>
  <si>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</si>
  <si>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</si>
  <si>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</si>
  <si>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</si>
  <si>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</si>
  <si>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</si>
  <si>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</si>
  <si>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</si>
  <si>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</si>
  <si>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</si>
  <si>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</si>
  <si>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</si>
  <si>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</si>
  <si>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</si>
  <si>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</si>
  <si>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</si>
  <si>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</si>
  <si>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</si>
  <si>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</si>
  <si>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</si>
  <si>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</si>
  <si>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</si>
  <si>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</si>
  <si>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</si>
  <si>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</si>
  <si>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</si>
  <si>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</si>
  <si>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</si>
  <si>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</si>
  <si>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</si>
  <si>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</si>
  <si>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</si>
  <si>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</si>
  <si>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</si>
  <si>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</si>
  <si>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</si>
  <si>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</si>
  <si>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</si>
  <si>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</si>
  <si>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</si>
  <si>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</si>
  <si>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</si>
  <si>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</si>
  <si>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</si>
  <si>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</si>
  <si>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</si>
  <si>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</si>
  <si>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</si>
  <si>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</si>
  <si>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</si>
  <si>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</si>
  <si>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</si>
  <si>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</si>
  <si>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</si>
  <si>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</si>
  <si>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</si>
  <si>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</si>
  <si>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</si>
  <si>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</si>
  <si>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</si>
  <si>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</si>
  <si>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</si>
  <si>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</si>
  <si>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</si>
  <si>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</si>
  <si>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</si>
  <si>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</si>
  <si>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</si>
  <si>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</si>
  <si>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</si>
  <si>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</si>
  <si>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</si>
  <si>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</si>
  <si>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</si>
  <si>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</si>
  <si>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</si>
  <si>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</si>
  <si>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</si>
  <si>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</si>
  <si>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</si>
  <si>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</si>
  <si>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</si>
  <si>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</si>
  <si>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</si>
  <si>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</si>
  <si>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</si>
  <si>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</si>
  <si>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</si>
  <si>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</si>
  <si>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</si>
  <si>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</si>
  <si>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</si>
  <si>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</si>
  <si>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</si>
  <si>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</si>
  <si>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</si>
  <si>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</si>
  <si>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</si>
  <si>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</si>
  <si>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</si>
  <si>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</si>
  <si>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</si>
  <si>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</si>
  <si>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</si>
  <si>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</si>
  <si>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</si>
  <si>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</si>
  <si>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</si>
  <si>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</si>
  <si>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</si>
  <si>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</si>
  <si>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</si>
  <si>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</si>
  <si>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</si>
  <si>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</si>
  <si>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</si>
  <si>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</si>
  <si>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</si>
  <si>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</si>
  <si>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</si>
  <si>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</si>
  <si>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</si>
  <si>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</si>
  <si>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</si>
  <si>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</si>
  <si>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</si>
  <si>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</si>
  <si>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</si>
  <si>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</si>
  <si>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</si>
  <si>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</si>
  <si>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</si>
  <si>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</si>
  <si>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</si>
  <si>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</si>
  <si>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</si>
  <si>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</si>
  <si>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</si>
  <si>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</si>
  <si>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</si>
  <si>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</si>
  <si>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</si>
  <si>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</si>
  <si>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</si>
  <si>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</si>
  <si>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</si>
  <si>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</si>
  <si>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</si>
  <si>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</si>
  <si>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</si>
  <si>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</si>
  <si>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</si>
  <si>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</si>
  <si>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</si>
  <si>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</si>
  <si>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</si>
  <si>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</si>
  <si>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</si>
  <si>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</si>
  <si>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</si>
  <si>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</si>
  <si>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</si>
  <si>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</si>
  <si>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</si>
  <si>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</si>
  <si>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</si>
  <si>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</si>
  <si>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</si>
  <si>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</si>
  <si>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</si>
  <si>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</si>
  <si>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</si>
  <si>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</si>
  <si>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</si>
  <si>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</si>
  <si>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</si>
  <si>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</si>
  <si>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</si>
  <si>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</si>
  <si>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</si>
  <si>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</si>
  <si>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</si>
  <si>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</si>
  <si>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</si>
  <si>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</si>
  <si>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</si>
  <si>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</si>
  <si>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</si>
  <si>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</si>
  <si>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</si>
  <si>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</si>
  <si>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</si>
  <si>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</si>
  <si>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</si>
  <si>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</si>
  <si>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</si>
  <si>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</si>
  <si>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</si>
  <si>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</si>
  <si>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</si>
  <si>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</si>
  <si>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</si>
  <si>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</si>
  <si>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</si>
  <si>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</si>
  <si>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</si>
  <si>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</si>
  <si>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</si>
  <si>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</si>
  <si>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</si>
  <si>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</si>
  <si>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</si>
  <si>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</si>
  <si>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</si>
  <si>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</si>
  <si>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</si>
  <si>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</si>
  <si>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</si>
  <si>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</si>
  <si>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</si>
  <si>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</si>
  <si>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</si>
  <si>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</si>
  <si>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</si>
  <si>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</si>
  <si>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</si>
  <si>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</si>
  <si>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</si>
  <si>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</si>
  <si>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</si>
  <si>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</si>
  <si>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</si>
  <si>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</si>
  <si>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</si>
  <si>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</si>
  <si>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</si>
  <si>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</si>
  <si>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</si>
  <si>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</si>
  <si>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</si>
  <si>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</si>
  <si>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</si>
  <si>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</si>
  <si>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</si>
  <si>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</si>
  <si>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</si>
  <si>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</si>
  <si>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</si>
  <si>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</si>
  <si>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</si>
  <si>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</si>
  <si>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</si>
  <si>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</si>
  <si>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</si>
  <si>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</si>
  <si>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</si>
  <si>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</si>
  <si>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</si>
  <si>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</si>
  <si>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</si>
  <si>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</si>
  <si>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</si>
  <si>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</si>
  <si>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</si>
  <si>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</si>
  <si>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</si>
  <si>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</si>
  <si>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</si>
  <si>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</si>
  <si>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</si>
  <si>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</si>
  <si>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</si>
  <si>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</si>
  <si>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</si>
  <si>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</si>
  <si>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</si>
  <si>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</si>
  <si>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</si>
  <si>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</si>
  <si>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</si>
  <si>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</si>
  <si>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</si>
  <si>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</si>
  <si>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</si>
  <si>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</si>
  <si>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</si>
  <si>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</si>
  <si>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</si>
  <si>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</si>
  <si>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</si>
  <si>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</si>
  <si>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</si>
  <si>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</si>
  <si>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</si>
  <si>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</si>
  <si>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</si>
  <si>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</si>
  <si>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</si>
  <si>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</si>
  <si>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</si>
  <si>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</si>
  <si>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</si>
  <si>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</si>
  <si>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</si>
  <si>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</si>
  <si>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</si>
  <si>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</si>
  <si>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</si>
  <si>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</si>
  <si>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</si>
  <si>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</si>
  <si>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</si>
  <si>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</si>
  <si>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</si>
  <si>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</si>
  <si>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</si>
  <si>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</si>
  <si>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</si>
  <si>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</si>
  <si>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</si>
  <si>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</si>
  <si>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</si>
  <si>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</si>
  <si>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</si>
  <si>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</si>
  <si>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</si>
  <si>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</si>
  <si>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</si>
  <si>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</si>
  <si>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</si>
  <si>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</si>
  <si>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</si>
  <si>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</si>
  <si>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</si>
  <si>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</si>
  <si>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</si>
  <si>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</si>
  <si>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</si>
  <si>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</si>
  <si>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</si>
  <si>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</si>
  <si>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</si>
  <si>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</si>
  <si>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</si>
  <si>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</si>
  <si>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</si>
  <si>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</si>
  <si>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</si>
  <si>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</si>
  <si>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</si>
  <si>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</si>
  <si>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</si>
  <si>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</si>
  <si>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</si>
  <si>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</si>
  <si>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</si>
  <si>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</si>
  <si>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</si>
  <si>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</si>
  <si>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</si>
  <si>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</si>
  <si>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</si>
  <si>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</si>
  <si>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</si>
  <si>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</si>
  <si>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</si>
  <si>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</si>
  <si>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</si>
  <si>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</si>
  <si>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</si>
  <si>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</si>
  <si>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</si>
  <si>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</si>
  <si>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</si>
  <si>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</si>
  <si>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</si>
  <si>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</si>
  <si>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</si>
  <si>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</si>
  <si>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</si>
  <si>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</si>
  <si>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</si>
  <si>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</si>
  <si>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</si>
  <si>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</si>
  <si>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</si>
  <si>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</si>
  <si>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</si>
  <si>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</si>
  <si>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</si>
  <si>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</si>
  <si>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</si>
  <si>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</si>
  <si>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</si>
  <si>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</si>
  <si>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</si>
  <si>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</si>
  <si>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</si>
  <si>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</si>
  <si>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</si>
  <si>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</si>
  <si>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</si>
  <si>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</si>
  <si>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</si>
  <si>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</si>
  <si>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</si>
  <si>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</si>
  <si>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</si>
  <si>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</si>
  <si>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</si>
  <si>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</si>
  <si>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</si>
  <si>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</si>
  <si>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</si>
  <si>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</si>
  <si>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</si>
  <si>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</si>
  <si>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</si>
  <si>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</si>
  <si>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</si>
  <si>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</si>
  <si>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</si>
  <si>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</si>
  <si>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</si>
  <si>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</si>
  <si>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</si>
  <si>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</si>
  <si>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</si>
  <si>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</si>
  <si>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</si>
  <si>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</si>
  <si>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</si>
  <si>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</si>
  <si>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</si>
  <si>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</si>
  <si>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</si>
  <si>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</si>
  <si>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</si>
  <si>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</si>
  <si>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</si>
  <si>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</si>
  <si>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</si>
  <si>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</si>
  <si>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</si>
  <si>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</si>
  <si>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</si>
  <si>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</si>
  <si>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</si>
  <si>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</si>
  <si>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</si>
  <si>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</si>
  <si>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</si>
  <si>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</si>
  <si>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</si>
  <si>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</si>
  <si>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</si>
  <si>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</si>
  <si>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</si>
  <si>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</si>
  <si>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</si>
  <si>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</si>
  <si>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</si>
  <si>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</si>
  <si>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</si>
  <si>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</si>
  <si>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</si>
  <si>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</si>
  <si>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</si>
  <si>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</si>
  <si>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</si>
  <si>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</si>
  <si>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</si>
  <si>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</si>
  <si>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</si>
  <si>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</si>
  <si>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</si>
  <si>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</si>
  <si>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</si>
  <si>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</si>
  <si>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</si>
  <si>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</si>
  <si>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</si>
  <si>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</si>
  <si>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</si>
  <si>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</si>
  <si>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</si>
  <si>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</si>
  <si>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</si>
  <si>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</si>
  <si>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</si>
  <si>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</si>
  <si>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</si>
  <si>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</si>
  <si>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</si>
  <si>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</si>
  <si>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</si>
  <si>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</si>
  <si>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</si>
  <si>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</si>
  <si>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</si>
  <si>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</si>
  <si>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</si>
  <si>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</si>
  <si>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</si>
  <si>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</si>
  <si>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</si>
  <si>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</si>
  <si>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</si>
  <si>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</si>
  <si>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</si>
  <si>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</si>
  <si>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</si>
  <si>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</si>
  <si>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</si>
  <si>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</si>
  <si>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</si>
  <si>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</si>
  <si>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</si>
  <si>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</si>
  <si>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</si>
  <si>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</si>
  <si>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</si>
  <si>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</si>
  <si>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</si>
  <si>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</si>
  <si>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</si>
  <si>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</si>
  <si>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</si>
  <si>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</si>
  <si>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</si>
  <si>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</si>
  <si>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</si>
  <si>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</si>
  <si>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</si>
  <si>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</si>
  <si>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</si>
  <si>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</si>
  <si>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</si>
  <si>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</si>
  <si>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</si>
  <si>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</si>
  <si>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</si>
  <si>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</si>
  <si>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</si>
  <si>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</si>
  <si>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</si>
  <si>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</si>
  <si>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</si>
  <si>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</si>
  <si>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</si>
  <si>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</si>
  <si>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</si>
  <si>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</si>
  <si>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</si>
  <si>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</si>
  <si>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</si>
  <si>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</si>
  <si>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</si>
  <si>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</si>
  <si>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</si>
  <si>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</si>
  <si>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</si>
  <si>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</si>
  <si>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</si>
  <si>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</si>
  <si>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</si>
  <si>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</si>
  <si>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</si>
  <si>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</si>
  <si>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</si>
  <si>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</si>
  <si>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</si>
  <si>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</si>
  <si>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</si>
  <si>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</si>
  <si>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</si>
  <si>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</si>
  <si>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</si>
  <si>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</si>
  <si>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</si>
  <si>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</si>
  <si>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</si>
  <si>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</si>
  <si>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</si>
  <si>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</si>
  <si>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</si>
  <si>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</si>
  <si>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</si>
  <si>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</si>
  <si>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</si>
  <si>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</si>
  <si>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</si>
  <si>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</si>
  <si>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</si>
  <si>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</si>
  <si>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</si>
  <si>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</si>
  <si>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</si>
  <si>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</si>
  <si>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</si>
  <si>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</si>
  <si>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</si>
  <si>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</si>
  <si>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</si>
  <si>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</si>
  <si>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</si>
  <si>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</si>
  <si>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</si>
  <si>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</si>
  <si>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</si>
  <si>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</si>
  <si>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</si>
  <si>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</si>
  <si>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</si>
  <si>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</si>
  <si>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</si>
  <si>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</si>
  <si>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</si>
  <si>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</si>
  <si>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</si>
  <si>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</si>
  <si>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</si>
  <si>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</si>
  <si>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</si>
  <si>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</si>
  <si>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</si>
  <si>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</si>
  <si>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</si>
  <si>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</si>
  <si>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</si>
  <si>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</si>
  <si>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</si>
  <si>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</si>
  <si>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</si>
  <si>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</si>
  <si>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</si>
  <si>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</si>
  <si>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</si>
  <si>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</si>
  <si>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</si>
  <si>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</si>
  <si>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</si>
  <si>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</si>
  <si>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</si>
  <si>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</si>
  <si>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</si>
  <si>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</si>
  <si>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</si>
  <si>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</si>
  <si>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</si>
  <si>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</si>
  <si>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</si>
  <si>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</si>
  <si>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</si>
  <si>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</si>
  <si>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</si>
  <si>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</si>
  <si>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</si>
  <si>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</si>
  <si>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</si>
  <si>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</si>
  <si>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</si>
  <si>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</si>
  <si>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</si>
  <si>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</si>
  <si>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</si>
  <si>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</si>
  <si>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</si>
  <si>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</si>
  <si>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</si>
  <si>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</si>
  <si>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</si>
  <si>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</si>
  <si>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</si>
  <si>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</si>
  <si>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</si>
  <si>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</si>
  <si>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</si>
  <si>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</si>
  <si>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</si>
  <si>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</si>
  <si>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</si>
  <si>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</si>
  <si>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</si>
  <si>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</si>
  <si>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</si>
  <si>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</si>
  <si>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</si>
  <si>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</si>
  <si>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</si>
  <si>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</si>
  <si>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</si>
  <si>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</si>
  <si>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</si>
  <si>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</si>
  <si>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</si>
  <si>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</si>
  <si>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</si>
  <si>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</si>
  <si>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</si>
  <si>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</si>
  <si>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</si>
  <si>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</si>
  <si>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</si>
  <si>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</si>
  <si>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</si>
  <si>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</si>
  <si>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</si>
  <si>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</si>
  <si>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</si>
  <si>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</si>
  <si>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</si>
  <si>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</si>
  <si>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</si>
  <si>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</si>
  <si>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</si>
  <si>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</si>
  <si>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</si>
  <si>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</si>
  <si>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</si>
  <si>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</si>
  <si>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</si>
  <si>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</si>
  <si>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</si>
  <si>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</si>
  <si>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</si>
  <si>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</si>
  <si>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</si>
  <si>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</si>
  <si>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</si>
  <si>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</si>
  <si>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</si>
  <si>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</si>
  <si>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</si>
  <si>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</si>
  <si>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</si>
  <si>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</si>
  <si>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</si>
  <si>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</si>
  <si>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</si>
  <si>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</si>
  <si>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</si>
  <si>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</si>
  <si>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</si>
  <si>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</si>
  <si>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</si>
  <si>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</si>
  <si>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</si>
  <si>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</si>
  <si>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</si>
  <si>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</si>
  <si>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</si>
  <si>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</si>
  <si>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</si>
  <si>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</si>
  <si>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</si>
  <si>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</si>
  <si>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</si>
  <si>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</si>
  <si>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</si>
  <si>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</si>
  <si>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</si>
  <si>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</si>
  <si>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</si>
  <si>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</si>
  <si>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</si>
  <si>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</si>
  <si>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</si>
  <si>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</si>
  <si>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</si>
  <si>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</si>
  <si>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</si>
  <si>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</si>
  <si>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</si>
  <si>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</si>
  <si>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</si>
  <si>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</si>
  <si>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</si>
  <si>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</si>
  <si>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</si>
  <si>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</si>
  <si>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</si>
  <si>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</si>
  <si>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</si>
  <si>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</si>
  <si>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</si>
  <si>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</si>
  <si>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</si>
  <si>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</si>
  <si>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</si>
  <si>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</si>
  <si>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</si>
  <si>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</si>
  <si>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</si>
  <si>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</si>
  <si>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</si>
  <si>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</si>
  <si>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</si>
  <si>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</si>
  <si>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</si>
  <si>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</si>
  <si>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</si>
  <si>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</si>
  <si>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</si>
  <si>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</si>
  <si>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</si>
  <si>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</si>
  <si>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</si>
  <si>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</si>
  <si>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</si>
  <si>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</si>
  <si>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</si>
  <si>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</si>
  <si>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</si>
  <si>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</si>
  <si>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</si>
  <si>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</si>
  <si>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</si>
  <si>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</si>
  <si>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</si>
  <si>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</si>
  <si>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</si>
  <si>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</si>
  <si>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</si>
  <si>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</si>
  <si>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</si>
  <si>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</si>
  <si>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</si>
  <si>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</si>
  <si>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</si>
  <si>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</si>
  <si>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</si>
  <si>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</si>
  <si>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</si>
  <si>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</si>
  <si>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</si>
  <si>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</si>
  <si>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</si>
  <si>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</si>
  <si>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</si>
  <si>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</si>
  <si>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</si>
  <si>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</si>
  <si>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</si>
  <si>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</si>
  <si>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</si>
  <si>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</si>
  <si>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</si>
  <si>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</si>
  <si>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</si>
  <si>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</si>
  <si>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</si>
  <si>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</si>
  <si>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</si>
  <si>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</si>
  <si>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</si>
  <si>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</si>
  <si>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</si>
  <si>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</si>
  <si>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</si>
  <si>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</si>
  <si>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</si>
  <si>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</si>
  <si>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</si>
  <si>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</si>
  <si>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</si>
  <si>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</si>
  <si>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</si>
  <si>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</si>
  <si>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</si>
  <si>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</si>
  <si>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</si>
  <si>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</si>
  <si>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</si>
  <si>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</si>
  <si>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</si>
  <si>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</si>
  <si>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</si>
  <si>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</si>
  <si>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</si>
  <si>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</si>
  <si>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</si>
  <si>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</si>
  <si>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</si>
  <si>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</si>
  <si>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</si>
  <si>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</si>
  <si>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</si>
  <si>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</si>
  <si>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</si>
  <si>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</si>
  <si>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</si>
  <si>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</si>
  <si>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</si>
  <si>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</si>
  <si>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</si>
  <si>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</si>
  <si>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</si>
  <si>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</si>
  <si>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</si>
  <si>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</si>
  <si>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</si>
  <si>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</si>
  <si>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</si>
  <si>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</si>
  <si>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</si>
  <si>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</si>
  <si>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</si>
  <si>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</si>
  <si>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</si>
  <si>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</si>
  <si>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</si>
  <si>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</si>
  <si>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</si>
  <si>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</si>
  <si>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</si>
  <si>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</si>
  <si>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</si>
  <si>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</si>
  <si>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</si>
  <si>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</si>
  <si>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</si>
  <si>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</si>
  <si>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</si>
  <si>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</si>
  <si>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</si>
  <si>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</si>
  <si>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</si>
  <si>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</si>
  <si>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</si>
  <si>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</si>
  <si>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</si>
  <si>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</si>
  <si>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</si>
  <si>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</si>
  <si>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</si>
  <si>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</si>
  <si>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</si>
  <si>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</si>
  <si>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</si>
  <si>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</si>
  <si>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</si>
  <si>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</si>
  <si>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</si>
  <si>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</si>
  <si>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</si>
  <si>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</si>
  <si>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</si>
  <si>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</si>
  <si>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</si>
  <si>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</si>
  <si>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</si>
  <si>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</si>
  <si>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</si>
  <si>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</si>
  <si>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</si>
  <si>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</si>
  <si>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</si>
  <si>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</si>
  <si>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</si>
  <si>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</si>
  <si>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</si>
  <si>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</si>
  <si>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</si>
  <si>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</si>
  <si>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</si>
  <si>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</si>
  <si>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</si>
  <si>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</si>
  <si>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</si>
  <si>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</si>
  <si>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</si>
  <si>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</si>
  <si>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</si>
  <si>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</si>
  <si>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</si>
  <si>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</si>
  <si>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</si>
  <si>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</si>
  <si>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</si>
  <si>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</si>
  <si>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</si>
  <si>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</si>
  <si>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</si>
  <si>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</si>
  <si>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</si>
  <si>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</si>
  <si>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</si>
  <si>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</si>
  <si>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</si>
  <si>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</si>
  <si>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</si>
  <si>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</si>
  <si>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</si>
  <si>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</si>
  <si>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</si>
  <si>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</si>
  <si>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</si>
  <si>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</si>
  <si>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</si>
  <si>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</si>
  <si>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</si>
  <si>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</si>
  <si>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</si>
  <si>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</si>
  <si>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</si>
  <si>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</si>
  <si>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</si>
  <si>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</si>
  <si>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</si>
  <si>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</si>
  <si>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</si>
  <si>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</si>
  <si>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</si>
  <si>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</si>
  <si>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</si>
  <si>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</si>
  <si>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</si>
  <si>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</si>
  <si>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</si>
  <si>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</si>
  <si>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</si>
  <si>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</si>
  <si>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</si>
  <si>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</si>
  <si>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</si>
  <si>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</si>
  <si>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</si>
  <si>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</si>
  <si>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</si>
  <si>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</si>
  <si>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</si>
  <si>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</si>
  <si>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</si>
  <si>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</si>
  <si>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</si>
  <si>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</si>
  <si>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</si>
  <si>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</si>
  <si>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</si>
  <si>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</si>
  <si>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</si>
  <si>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</si>
  <si>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</si>
  <si>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</si>
  <si>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</si>
  <si>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</si>
  <si>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</si>
  <si>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</si>
  <si>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</si>
  <si>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</si>
  <si>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</si>
  <si>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</si>
  <si>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</si>
  <si>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</si>
  <si>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</si>
  <si>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</si>
  <si>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</si>
  <si>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</si>
  <si>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</si>
  <si>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</si>
  <si>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</si>
  <si>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</si>
  <si>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</si>
  <si>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</si>
  <si>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</si>
  <si>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</si>
  <si>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</si>
  <si>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</si>
  <si>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</si>
  <si>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</si>
  <si>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</si>
  <si>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</si>
  <si>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</si>
  <si>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</si>
  <si>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</si>
  <si>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</si>
  <si>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</si>
  <si>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</si>
  <si>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</si>
  <si>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</si>
  <si>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</si>
  <si>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</si>
  <si>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</si>
  <si>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</si>
  <si>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</si>
  <si>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</si>
  <si>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</si>
  <si>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</si>
  <si>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</si>
  <si>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</si>
  <si>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</si>
  <si>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</si>
  <si>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</si>
  <si>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</si>
  <si>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</si>
  <si>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</si>
  <si>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</si>
  <si>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</si>
  <si>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</si>
  <si>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</si>
  <si>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</si>
  <si>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</si>
  <si>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</si>
  <si>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</si>
  <si>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</si>
  <si>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</si>
  <si>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</si>
  <si>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</si>
  <si>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</si>
  <si>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</si>
  <si>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</si>
  <si>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</si>
  <si>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</si>
  <si>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</si>
  <si>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</si>
  <si>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</si>
  <si>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</si>
  <si>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</si>
  <si>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</si>
  <si>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</si>
  <si>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</si>
  <si>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</si>
  <si>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</si>
  <si>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</si>
  <si>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</si>
  <si>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</si>
  <si>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</si>
  <si>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</si>
  <si>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</si>
  <si>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</si>
  <si>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</si>
  <si>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</si>
  <si>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</si>
  <si>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</si>
  <si>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</si>
  <si>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</si>
  <si>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</si>
  <si>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</si>
  <si>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</si>
  <si>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</si>
  <si>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</si>
  <si>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</si>
  <si>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</si>
  <si>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</si>
  <si>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</si>
  <si>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</si>
  <si>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</si>
  <si>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</si>
  <si>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</si>
  <si>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</si>
  <si>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</si>
  <si>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</si>
  <si>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</si>
  <si>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</si>
  <si>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</si>
  <si>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</si>
  <si>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</si>
  <si>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</si>
  <si>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</si>
  <si>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</si>
  <si>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</si>
  <si>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</si>
  <si>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</si>
  <si>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</si>
  <si>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</si>
  <si>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</si>
  <si>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</si>
  <si>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</si>
  <si>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</si>
  <si>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</si>
  <si>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</si>
  <si>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</si>
  <si>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</si>
  <si>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</si>
  <si>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</si>
  <si>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</si>
  <si>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</si>
  <si>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</si>
  <si>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</si>
  <si>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</si>
  <si>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</si>
  <si>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</si>
  <si>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</si>
  <si>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</si>
  <si>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</si>
  <si>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</si>
  <si>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</si>
  <si>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</si>
  <si>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</si>
  <si>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</si>
  <si>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</si>
  <si>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</si>
  <si>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</si>
  <si>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</si>
  <si>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</si>
  <si>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</si>
  <si>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</si>
  <si>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</si>
  <si>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</si>
  <si>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</si>
  <si>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</si>
  <si>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</si>
  <si>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</si>
  <si>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</si>
  <si>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</si>
  <si>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</si>
  <si>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</si>
  <si>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</si>
  <si>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</si>
  <si>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</si>
  <si>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</si>
  <si>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</si>
  <si>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</si>
  <si>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</si>
  <si>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</si>
  <si>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</si>
  <si>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</si>
  <si>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</si>
  <si>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</si>
  <si>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</si>
  <si>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</si>
  <si>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</si>
  <si>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</si>
  <si>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</si>
  <si>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</si>
  <si>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</si>
  <si>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</si>
  <si>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</si>
  <si>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</si>
  <si>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</si>
  <si>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</si>
  <si>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</si>
  <si>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</si>
  <si>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</si>
  <si>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</si>
  <si>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</si>
  <si>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</si>
  <si>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</si>
  <si>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</si>
  <si>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</si>
  <si>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</si>
  <si>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</si>
  <si>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</si>
  <si>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</si>
  <si>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</si>
  <si>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</si>
  <si>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</si>
  <si>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</si>
  <si>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</si>
  <si>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</si>
  <si>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</si>
  <si>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</si>
  <si>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</si>
  <si>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</si>
  <si>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</si>
  <si>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</si>
  <si>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</si>
  <si>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</si>
  <si>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</si>
  <si>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</si>
  <si>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</si>
  <si>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</si>
  <si>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</si>
  <si>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</si>
  <si>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</si>
  <si>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</si>
  <si>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</si>
  <si>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</si>
  <si>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</si>
  <si>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</si>
  <si>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</si>
  <si>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</si>
  <si>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</si>
  <si>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</si>
  <si>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</si>
  <si>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</si>
  <si>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</si>
  <si>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</si>
  <si>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</si>
  <si>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</si>
  <si>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</si>
  <si>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</si>
  <si>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</si>
  <si>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</si>
  <si>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</si>
  <si>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</si>
  <si>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</si>
  <si>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</si>
  <si>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</si>
  <si>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</si>
  <si>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</si>
  <si>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</si>
  <si>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</si>
  <si>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</si>
  <si>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</si>
  <si>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</si>
  <si>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</si>
  <si>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</si>
  <si>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</si>
  <si>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</si>
  <si>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</si>
  <si>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</si>
  <si>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</si>
  <si>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</si>
  <si>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</si>
  <si>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</si>
  <si>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</si>
  <si>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</si>
  <si>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</si>
  <si>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</si>
  <si>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</si>
  <si>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</si>
  <si>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</si>
  <si>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</si>
  <si>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</si>
  <si>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</si>
  <si>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</si>
  <si>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</si>
  <si>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</si>
  <si>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</si>
  <si>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</si>
  <si>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</si>
  <si>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</si>
  <si>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</si>
  <si>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</si>
  <si>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</si>
  <si>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</si>
  <si>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</si>
  <si>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</si>
  <si>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</si>
  <si>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</si>
  <si>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</si>
  <si>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</si>
  <si>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</si>
  <si>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</si>
  <si>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</si>
  <si>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</si>
  <si>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</si>
  <si>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</si>
  <si>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</si>
  <si>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</si>
  <si>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</si>
  <si>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</si>
  <si>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</si>
  <si>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</si>
  <si>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</si>
  <si>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</si>
  <si>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</si>
  <si>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</si>
  <si>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</si>
  <si>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</si>
  <si>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</si>
  <si>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</si>
  <si>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</si>
  <si>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</si>
  <si>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</si>
  <si>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</si>
  <si>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</si>
  <si>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</si>
  <si>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</si>
  <si>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</si>
  <si>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</si>
  <si>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</si>
  <si>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</si>
  <si>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</si>
  <si>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</si>
  <si>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</si>
  <si>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</si>
  <si>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</si>
  <si>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</si>
  <si>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</si>
  <si>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</si>
  <si>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</si>
  <si>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</si>
  <si>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</si>
  <si>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</si>
  <si>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</si>
  <si>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</si>
  <si>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</si>
  <si>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</si>
  <si>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</si>
  <si>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</si>
  <si>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</si>
  <si>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</si>
  <si>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</si>
  <si>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</si>
  <si>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</si>
  <si>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</si>
  <si>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</si>
  <si>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</si>
  <si>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</si>
  <si>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</si>
  <si>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</si>
  <si>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</si>
  <si>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</si>
  <si>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</si>
  <si>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</si>
  <si>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</si>
  <si>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</si>
  <si>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</si>
  <si>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</si>
  <si>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</si>
  <si>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</si>
  <si>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</si>
  <si>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</si>
  <si>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</si>
  <si>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</si>
  <si>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</si>
  <si>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</si>
  <si>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</si>
  <si>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</si>
  <si>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</si>
  <si>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</si>
  <si>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</si>
  <si>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</si>
  <si>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</si>
  <si>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</si>
  <si>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</si>
  <si>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</si>
  <si>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</si>
  <si>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</si>
  <si>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</si>
  <si>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</si>
  <si>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</si>
  <si>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</si>
  <si>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</si>
  <si>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</si>
  <si>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</si>
  <si>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</si>
  <si>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</si>
  <si>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</si>
  <si>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</si>
  <si>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</si>
  <si>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</si>
  <si>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</si>
  <si>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</si>
  <si>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</si>
  <si>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</si>
  <si>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</si>
  <si>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</si>
  <si>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</si>
  <si>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</si>
  <si>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</si>
  <si>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</si>
  <si>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</si>
  <si>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</si>
  <si>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</si>
  <si>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</si>
  <si>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</si>
  <si>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</si>
  <si>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</si>
  <si>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</si>
  <si>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</si>
  <si>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</si>
  <si>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</si>
  <si>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</si>
  <si>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</si>
  <si>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</si>
  <si>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</si>
  <si>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</si>
  <si>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</si>
  <si>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</si>
  <si>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</si>
  <si>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</si>
  <si>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</si>
  <si>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</si>
  <si>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</si>
  <si>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</si>
  <si>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</si>
  <si>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</si>
  <si>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</si>
  <si>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</si>
  <si>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</si>
  <si>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</si>
  <si>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</si>
  <si>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</si>
  <si>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</si>
  <si>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</si>
  <si>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</si>
  <si>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</si>
  <si>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</si>
  <si>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</si>
  <si>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</si>
  <si>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</si>
  <si>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</si>
  <si>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</si>
  <si>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</si>
  <si>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</si>
  <si>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</si>
  <si>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</si>
  <si>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</si>
  <si>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</si>
  <si>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</si>
  <si>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</si>
  <si>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</si>
  <si>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</si>
  <si>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</si>
  <si>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</si>
  <si>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</si>
  <si>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</si>
  <si>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</si>
  <si>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</si>
  <si>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</si>
  <si>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</si>
  <si>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</si>
  <si>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</si>
  <si>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</si>
  <si>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</si>
  <si>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</si>
  <si>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</si>
  <si>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</si>
  <si>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</si>
  <si>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</si>
  <si>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</si>
  <si>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</si>
  <si>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</si>
  <si>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</si>
  <si>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</si>
  <si>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</si>
  <si>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</si>
  <si>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</si>
  <si>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</si>
  <si>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</si>
  <si>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</si>
  <si>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</si>
  <si>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</si>
  <si>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</si>
  <si>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</si>
  <si>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</si>
  <si>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</si>
  <si>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</si>
  <si>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</si>
  <si>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</si>
  <si>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</si>
  <si>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</si>
  <si>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</si>
  <si>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</si>
  <si>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</si>
  <si>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</si>
  <si>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</si>
  <si>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</si>
  <si>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</si>
  <si>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</si>
  <si>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</si>
  <si>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</si>
  <si>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</si>
  <si>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</si>
  <si>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</si>
  <si>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</si>
  <si>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</si>
  <si>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</si>
  <si>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</si>
  <si>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</si>
  <si>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</si>
  <si>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</si>
  <si>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</si>
  <si>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</si>
  <si>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</si>
  <si>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</si>
  <si>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</si>
  <si>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</si>
  <si>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</si>
  <si>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</si>
  <si>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</si>
  <si>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</si>
  <si>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</si>
  <si>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</si>
  <si>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</si>
  <si>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</si>
  <si>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</si>
  <si>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</si>
  <si>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</si>
  <si>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</si>
  <si>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</si>
  <si>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</si>
  <si>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</si>
  <si>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</si>
  <si>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</si>
  <si>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</si>
  <si>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</si>
  <si>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</si>
  <si>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</si>
  <si>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</si>
  <si>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</si>
  <si>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</si>
  <si>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</si>
  <si>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</si>
  <si>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</si>
  <si>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</si>
  <si>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</si>
  <si>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</si>
  <si>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</si>
  <si>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</si>
  <si>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</si>
  <si>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</si>
  <si>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</si>
  <si>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</si>
  <si>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</si>
  <si>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</si>
  <si>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</si>
  <si>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</si>
  <si>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</si>
  <si>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</si>
  <si>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</si>
  <si>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</si>
  <si>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</si>
  <si>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</si>
  <si>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</si>
  <si>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</si>
  <si>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</si>
  <si>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</si>
  <si>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</si>
  <si>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</si>
  <si>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</si>
  <si>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</si>
  <si>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</si>
  <si>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</si>
  <si>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</si>
  <si>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</si>
  <si>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</si>
  <si>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</si>
  <si>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</si>
  <si>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</si>
  <si>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</si>
  <si>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</si>
  <si>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</si>
  <si>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</si>
  <si>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</si>
  <si>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</si>
  <si>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</si>
  <si>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</si>
  <si>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</si>
  <si>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</si>
  <si>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</si>
  <si>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</si>
  <si>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</si>
  <si>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</si>
  <si>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</si>
  <si>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</si>
  <si>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</si>
  <si>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</si>
  <si>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</si>
  <si>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</si>
  <si>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</si>
  <si>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</si>
  <si>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</si>
  <si>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</si>
  <si>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</si>
  <si>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</si>
  <si>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</si>
  <si>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</si>
  <si>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</si>
  <si>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</si>
  <si>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</si>
  <si>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</si>
  <si>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</si>
  <si>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</si>
  <si>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</si>
  <si>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</si>
  <si>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</si>
  <si>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</si>
  <si>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</si>
  <si>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</si>
  <si>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</si>
  <si>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</si>
  <si>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</si>
  <si>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</si>
  <si>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</si>
  <si>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</si>
  <si>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</si>
  <si>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</si>
  <si>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</si>
  <si>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</si>
  <si>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</si>
  <si>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</si>
  <si>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</si>
  <si>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</si>
  <si>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</si>
  <si>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</si>
  <si>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</si>
  <si>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</si>
  <si>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</si>
  <si>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</si>
  <si>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</si>
  <si>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</si>
  <si>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</si>
  <si>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</si>
  <si>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</si>
  <si>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</si>
  <si>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</si>
  <si>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</si>
  <si>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</si>
  <si>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</si>
  <si>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</si>
  <si>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</si>
  <si>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</si>
  <si>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</si>
  <si>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</si>
  <si>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</si>
  <si>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</si>
  <si>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</si>
  <si>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</si>
  <si>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</si>
  <si>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</si>
  <si>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</si>
  <si>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</si>
  <si>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</si>
  <si>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</si>
  <si>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</si>
  <si>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</si>
  <si>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</si>
  <si>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</si>
  <si>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</si>
  <si>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</si>
  <si>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</si>
  <si>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</si>
  <si>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</si>
  <si>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</si>
  <si>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</si>
  <si>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</si>
  <si>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</si>
  <si>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</si>
  <si>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</si>
  <si>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</si>
  <si>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</si>
  <si>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</si>
  <si>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</si>
  <si>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</si>
  <si>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</si>
  <si>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</si>
  <si>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</si>
  <si>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</si>
  <si>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</si>
  <si>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</si>
  <si>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</si>
  <si>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</si>
  <si>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</si>
  <si>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</si>
  <si>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</si>
  <si>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</si>
  <si>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</si>
  <si>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</si>
  <si>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</si>
  <si>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</si>
  <si>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</si>
  <si>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</si>
  <si>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</si>
  <si>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</si>
  <si>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</si>
  <si>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</si>
  <si>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</si>
  <si>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</si>
  <si>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</si>
  <si>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</si>
  <si>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</si>
  <si>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</si>
  <si>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</si>
  <si>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</si>
  <si>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</si>
  <si>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</si>
  <si>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</si>
  <si>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</si>
  <si>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</si>
  <si>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</si>
  <si>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</si>
  <si>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</si>
  <si>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</si>
  <si>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</si>
  <si>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</si>
  <si>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</si>
  <si>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</si>
  <si>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</si>
  <si>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</si>
  <si>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</si>
  <si>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</si>
  <si>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</si>
  <si>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</si>
  <si>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</si>
  <si>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</si>
  <si>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</si>
  <si>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</si>
  <si>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</si>
  <si>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</si>
  <si>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</si>
  <si>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</si>
  <si>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</si>
  <si>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</si>
  <si>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</si>
  <si>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</si>
  <si>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</si>
  <si>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</si>
  <si>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</si>
  <si>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</si>
  <si>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</si>
  <si>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</si>
  <si>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</si>
  <si>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</si>
  <si>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</si>
  <si>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</si>
  <si>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</si>
  <si>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</si>
  <si>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</si>
  <si>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</si>
  <si>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</si>
  <si>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</si>
  <si>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</si>
  <si>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</si>
  <si>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</si>
  <si>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</si>
  <si>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</si>
  <si>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</si>
  <si>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</si>
  <si>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</si>
  <si>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</si>
  <si>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</si>
  <si>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</si>
  <si>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</si>
  <si>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</si>
  <si>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</si>
  <si>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</si>
  <si>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</si>
  <si>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</si>
  <si>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</si>
  <si>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</si>
  <si>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</si>
  <si>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</si>
  <si>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</si>
  <si>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</si>
  <si>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</si>
  <si>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</si>
  <si>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</si>
  <si>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</si>
  <si>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</si>
  <si>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</si>
  <si>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</si>
  <si>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</si>
  <si>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</si>
  <si>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</si>
  <si>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</si>
  <si>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</si>
  <si>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</si>
  <si>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</si>
  <si>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</si>
  <si>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</si>
  <si>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</si>
  <si>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</si>
  <si>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</si>
  <si>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</si>
  <si>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</si>
  <si>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</si>
  <si>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</si>
  <si>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</si>
  <si>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</si>
  <si>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</si>
  <si>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</si>
  <si>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</si>
  <si>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</si>
  <si>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</si>
  <si>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</si>
  <si>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</si>
  <si>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</si>
  <si>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</si>
  <si>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</si>
  <si>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</si>
  <si>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</si>
  <si>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</si>
  <si>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</si>
  <si>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</si>
  <si>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</si>
  <si>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</si>
  <si>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</si>
  <si>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</si>
  <si>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</si>
  <si>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</si>
  <si>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</si>
  <si>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</si>
  <si>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</si>
  <si>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</si>
  <si>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</si>
  <si>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</si>
  <si>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</si>
  <si>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</si>
  <si>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</si>
  <si>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</si>
  <si>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</si>
  <si>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</si>
  <si>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</si>
  <si>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</si>
  <si>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</si>
  <si>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</si>
  <si>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</si>
  <si>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</si>
  <si>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</si>
  <si>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</si>
  <si>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</si>
  <si>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</si>
  <si>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</si>
  <si>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</si>
  <si>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</si>
  <si>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</si>
  <si>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</si>
  <si>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</si>
  <si>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</si>
  <si>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</si>
  <si>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</si>
  <si>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</si>
  <si>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</si>
  <si>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</si>
  <si>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</si>
  <si>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</si>
  <si>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</si>
  <si>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</si>
  <si>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</si>
  <si>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</si>
  <si>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</si>
  <si>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</si>
  <si>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</si>
  <si>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</si>
  <si>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</si>
  <si>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</si>
  <si>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</si>
  <si>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</si>
  <si>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</si>
  <si>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</si>
  <si>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</si>
  <si>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</si>
  <si>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</si>
  <si>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</si>
  <si>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</si>
  <si>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</si>
  <si>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</si>
  <si>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</si>
  <si>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</si>
  <si>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</si>
  <si>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</si>
  <si>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</si>
  <si>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</si>
  <si>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</si>
  <si>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</si>
  <si>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</si>
  <si>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</si>
  <si>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</si>
  <si>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</si>
  <si>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</si>
  <si>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</si>
  <si>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</si>
  <si>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</si>
  <si>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</si>
  <si>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</si>
  <si>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</si>
  <si>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</si>
  <si>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</si>
  <si>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</si>
  <si>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</si>
  <si>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</si>
  <si>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</si>
  <si>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</si>
  <si>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</si>
  <si>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</si>
  <si>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</si>
  <si>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</si>
  <si>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</si>
  <si>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</si>
  <si>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</si>
  <si>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</si>
  <si>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</si>
  <si>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</si>
  <si>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</si>
  <si>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</si>
  <si>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</si>
  <si>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</si>
  <si>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</si>
  <si>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</si>
  <si>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</si>
  <si>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</si>
  <si>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</si>
  <si>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</si>
  <si>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</si>
  <si>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</si>
  <si>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</si>
  <si>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</si>
  <si>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</si>
  <si>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</si>
  <si>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</si>
  <si>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</si>
  <si>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</si>
  <si>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</si>
  <si>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</si>
  <si>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</si>
  <si>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</si>
  <si>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</si>
  <si>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</si>
  <si>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</si>
  <si>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</si>
  <si>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</si>
  <si>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</si>
  <si>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</si>
  <si>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</si>
  <si>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</si>
  <si>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</si>
  <si>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</si>
  <si>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</si>
  <si>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</si>
  <si>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</si>
  <si>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</si>
  <si>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</si>
  <si>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</si>
  <si>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</si>
  <si>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</si>
  <si>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</si>
  <si>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</si>
  <si>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</si>
  <si>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</si>
  <si>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</si>
  <si>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</si>
  <si>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</si>
  <si>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</si>
  <si>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</si>
  <si>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</si>
  <si>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</si>
  <si>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</si>
  <si>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</si>
  <si>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</si>
  <si>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</si>
  <si>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</si>
  <si>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</si>
  <si>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</si>
  <si>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</si>
  <si>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</si>
  <si>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</si>
  <si>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</si>
  <si>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</si>
  <si>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</si>
  <si>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</si>
  <si>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</si>
  <si>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</si>
  <si>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</si>
  <si>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</si>
  <si>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</si>
  <si>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</si>
  <si>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</si>
  <si>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</si>
  <si>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</si>
  <si>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</si>
  <si>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</si>
  <si>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</si>
  <si>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</si>
  <si>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</si>
  <si>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</si>
  <si>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</si>
  <si>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</si>
  <si>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</si>
  <si>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</si>
  <si>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</si>
  <si>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</si>
  <si>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</si>
  <si>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</si>
  <si>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</si>
  <si>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</si>
  <si>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</si>
  <si>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</si>
  <si>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</si>
  <si>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</si>
  <si>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</si>
  <si>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</si>
  <si>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</si>
  <si>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</si>
  <si>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</si>
  <si>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</si>
  <si>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</si>
  <si>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</si>
  <si>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</si>
  <si>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</si>
  <si>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</si>
  <si>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</si>
  <si>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</si>
  <si>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</si>
  <si>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</si>
  <si>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</si>
  <si>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</si>
  <si>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</si>
  <si>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</si>
  <si>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</si>
  <si>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</si>
  <si>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</si>
  <si>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</si>
  <si>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</si>
  <si>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</si>
  <si>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</si>
  <si>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</si>
  <si>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</si>
  <si>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</si>
  <si>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</si>
  <si>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</si>
  <si>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</si>
  <si>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</si>
  <si>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</si>
  <si>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</si>
  <si>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</si>
  <si>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</si>
  <si>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</si>
  <si>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</si>
  <si>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</si>
  <si>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</si>
  <si>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</si>
  <si>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</si>
  <si>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</si>
  <si>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</si>
  <si>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</si>
  <si>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</si>
  <si>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</si>
  <si>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</si>
  <si>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</si>
  <si>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</si>
  <si>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</si>
  <si>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</si>
  <si>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</si>
  <si>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</si>
  <si>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</si>
  <si>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</si>
  <si>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</si>
  <si>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</si>
  <si>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</si>
  <si>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</si>
  <si>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</si>
  <si>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</si>
  <si>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</si>
  <si>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</si>
  <si>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</si>
  <si>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</si>
  <si>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</si>
  <si>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</si>
  <si>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</si>
  <si>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</si>
  <si>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</si>
  <si>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</si>
  <si>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</si>
  <si>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</si>
  <si>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</si>
  <si>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</si>
  <si>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</si>
  <si>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</si>
  <si>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</si>
  <si>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</si>
  <si>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</si>
  <si>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</si>
  <si>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</si>
  <si>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</si>
  <si>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</si>
  <si>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</si>
  <si>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</si>
  <si>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</si>
  <si>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</si>
  <si>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</si>
  <si>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</si>
  <si>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</si>
  <si>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</si>
  <si>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</si>
  <si>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</si>
  <si>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</si>
  <si>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</si>
  <si>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</si>
  <si>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</si>
  <si>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</si>
  <si>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</si>
  <si>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</si>
  <si>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</si>
  <si>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</si>
  <si>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</si>
  <si>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</si>
  <si>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</si>
  <si>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</si>
  <si>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</si>
  <si>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</si>
  <si>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</si>
  <si>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</si>
  <si>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</si>
  <si>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</si>
  <si>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</si>
  <si>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</si>
  <si>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</si>
  <si>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</si>
  <si>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</si>
  <si>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</si>
  <si>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</si>
  <si>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</si>
  <si>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</si>
  <si>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</si>
  <si>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</si>
  <si>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</si>
  <si>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</si>
  <si>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</si>
  <si>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</si>
  <si>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</si>
  <si>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</si>
  <si>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</si>
  <si>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</si>
  <si>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</si>
  <si>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</si>
  <si>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</si>
  <si>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</si>
  <si>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</si>
  <si>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</si>
  <si>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</si>
  <si>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</si>
  <si>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</si>
  <si>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</si>
  <si>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</si>
  <si>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</si>
  <si>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</si>
  <si>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</si>
  <si>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</si>
  <si>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</si>
  <si>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</si>
  <si>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</si>
  <si>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</si>
  <si>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</si>
  <si>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</si>
  <si>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</si>
  <si>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</si>
  <si>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</si>
  <si>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</si>
  <si>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</si>
  <si>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</si>
  <si>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</si>
  <si>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</si>
  <si>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</si>
  <si>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</si>
  <si>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</si>
  <si>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</si>
  <si>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</si>
  <si>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</si>
  <si>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</si>
  <si>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</si>
  <si>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</si>
  <si>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</si>
  <si>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</si>
  <si>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</si>
  <si>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</si>
  <si>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</si>
  <si>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</si>
  <si>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</si>
  <si>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</si>
  <si>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</si>
  <si>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</si>
  <si>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</si>
  <si>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</si>
  <si>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</si>
  <si>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</si>
  <si>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</si>
  <si>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</si>
  <si>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</si>
  <si>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</si>
  <si>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</si>
  <si>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</si>
  <si>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</si>
  <si>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</si>
  <si>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</si>
  <si>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</si>
  <si>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</si>
  <si>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</si>
  <si>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</si>
  <si>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</si>
  <si>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</si>
  <si>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</si>
  <si>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</si>
  <si>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</si>
  <si>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</si>
  <si>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</si>
  <si>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</si>
  <si>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</si>
  <si>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</si>
  <si>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</si>
  <si>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</si>
  <si>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</si>
  <si>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</si>
  <si>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</si>
  <si>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</si>
  <si>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</si>
  <si>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</si>
  <si>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</si>
  <si>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</si>
  <si>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</si>
  <si>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</si>
  <si>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</si>
  <si>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</si>
  <si>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</si>
  <si>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</si>
  <si>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</si>
  <si>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</si>
  <si>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</si>
  <si>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</si>
  <si>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</si>
  <si>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</si>
  <si>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</si>
  <si>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</si>
  <si>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</si>
  <si>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</si>
  <si>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</si>
  <si>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</si>
  <si>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</si>
  <si>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</si>
  <si>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</si>
  <si>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</si>
  <si>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</si>
  <si>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</si>
  <si>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</si>
  <si>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</si>
  <si>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</si>
  <si>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</si>
  <si>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</si>
  <si>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</si>
  <si>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</si>
  <si>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</si>
  <si>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</si>
  <si>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</si>
  <si>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</si>
  <si>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</si>
  <si>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</si>
  <si>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</si>
  <si>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</si>
  <si>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</si>
  <si>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</si>
  <si>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</si>
  <si>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</si>
  <si>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</si>
  <si>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</si>
  <si>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</si>
  <si>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</si>
  <si>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</si>
  <si>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</si>
  <si>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</si>
  <si>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</si>
  <si>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</si>
  <si>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</si>
  <si>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</si>
  <si>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</si>
  <si>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</si>
  <si>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</si>
  <si>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</si>
  <si>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</si>
  <si>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</si>
  <si>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</si>
  <si>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</si>
  <si>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</si>
  <si>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</si>
  <si>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</si>
  <si>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</si>
  <si>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</si>
  <si>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</si>
  <si>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</si>
  <si>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</si>
  <si>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</si>
  <si>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</si>
  <si>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</si>
  <si>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</si>
  <si>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</si>
  <si>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</si>
  <si>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</si>
  <si>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</si>
  <si>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</si>
  <si>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</si>
  <si>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</si>
  <si>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</si>
  <si>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</si>
  <si>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</si>
  <si>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</si>
  <si>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</si>
  <si>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</si>
  <si>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</si>
  <si>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</si>
  <si>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</si>
  <si>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</si>
  <si>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</si>
  <si>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</si>
  <si>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</si>
  <si>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</si>
  <si>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</si>
  <si>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</si>
  <si>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</si>
  <si>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</si>
  <si>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</si>
  <si>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</si>
  <si>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</si>
  <si>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</si>
  <si>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</si>
  <si>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</si>
  <si>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</si>
  <si>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</si>
  <si>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</si>
  <si>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</si>
  <si>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</si>
  <si>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</si>
  <si>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</si>
  <si>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</si>
  <si>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</si>
  <si>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</si>
  <si>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</si>
  <si>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</si>
  <si>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</si>
  <si>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</si>
  <si>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</si>
  <si>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</si>
  <si>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</si>
  <si>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</si>
  <si>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</si>
  <si>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</si>
  <si>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</si>
  <si>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</si>
  <si>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</si>
  <si>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</si>
  <si>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</si>
  <si>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</si>
  <si>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</si>
  <si>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</si>
  <si>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</si>
  <si>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</si>
  <si>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</si>
  <si>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</si>
  <si>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</si>
  <si>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</si>
  <si>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</si>
  <si>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</si>
  <si>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</si>
  <si>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</si>
  <si>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</si>
  <si>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</si>
  <si>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</si>
  <si>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</si>
  <si>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</si>
  <si>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</si>
  <si>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</si>
  <si>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</si>
  <si>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</si>
  <si>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</si>
  <si>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</si>
  <si>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</si>
  <si>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</si>
  <si>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</si>
  <si>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</si>
  <si>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</si>
  <si>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</si>
  <si>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</si>
  <si>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</si>
  <si>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</si>
  <si>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</si>
  <si>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</si>
  <si>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</si>
  <si>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</si>
  <si>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</si>
  <si>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</si>
  <si>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</si>
  <si>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</si>
  <si>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</si>
  <si>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</si>
  <si>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</si>
  <si>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</si>
  <si>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</si>
  <si>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</si>
  <si>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</si>
  <si>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</si>
  <si>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</si>
  <si>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</si>
  <si>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</si>
  <si>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</si>
  <si>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</si>
  <si>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</si>
  <si>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</si>
  <si>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</si>
  <si>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</si>
  <si>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</si>
  <si>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</si>
  <si>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</si>
  <si>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</si>
  <si>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</si>
  <si>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</si>
  <si>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</si>
  <si>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</si>
  <si>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</si>
  <si>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</si>
  <si>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</si>
  <si>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</si>
  <si>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</si>
  <si>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</si>
  <si>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</si>
  <si>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</si>
  <si>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</si>
  <si>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</si>
  <si>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</si>
  <si>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</si>
  <si>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</si>
  <si>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</si>
  <si>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</si>
  <si>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</si>
  <si>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</si>
  <si>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</si>
  <si>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</si>
  <si>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</si>
  <si>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</si>
  <si>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</si>
  <si>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</si>
  <si>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</si>
  <si>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</si>
  <si>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</si>
  <si>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</si>
  <si>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</si>
  <si>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</si>
  <si>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</si>
  <si>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</si>
  <si>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</si>
  <si>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</si>
  <si>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</si>
  <si>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</si>
  <si>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</si>
  <si>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</si>
  <si>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</si>
  <si>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</si>
  <si>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</si>
  <si>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</si>
  <si>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</si>
  <si>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</si>
  <si>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</si>
  <si>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</si>
  <si>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</si>
  <si>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</si>
  <si>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</si>
  <si>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</si>
  <si>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</si>
  <si>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</si>
  <si>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</si>
  <si>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</si>
  <si>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</si>
  <si>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</si>
  <si>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</si>
  <si>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</si>
  <si>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</si>
  <si>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</si>
  <si>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</si>
  <si>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</si>
  <si>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</si>
  <si>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</si>
  <si>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</si>
  <si>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</si>
  <si>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</si>
  <si>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</si>
  <si>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</si>
  <si>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</si>
  <si>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</si>
  <si>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</si>
  <si>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</si>
  <si>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</si>
  <si>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</si>
  <si>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</si>
  <si>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</si>
  <si>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</si>
  <si>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</si>
  <si>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</si>
  <si>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</si>
  <si>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</si>
  <si>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</si>
  <si>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</si>
  <si>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</si>
  <si>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</si>
  <si>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</si>
  <si>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</si>
  <si>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</si>
  <si>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</si>
  <si>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</si>
  <si>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</si>
  <si>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</si>
  <si>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</si>
  <si>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</si>
  <si>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</si>
  <si>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</si>
  <si>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</si>
  <si>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</si>
  <si>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</si>
  <si>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</si>
  <si>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</si>
  <si>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</si>
  <si>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</si>
  <si>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</si>
  <si>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</si>
  <si>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</si>
  <si>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</si>
  <si>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</si>
  <si>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</si>
  <si>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</si>
  <si>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</si>
  <si>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</si>
  <si>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</si>
  <si>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</si>
  <si>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</si>
  <si>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</si>
  <si>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</si>
  <si>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</si>
  <si>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</si>
  <si>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</si>
  <si>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</si>
  <si>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</si>
  <si>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</si>
  <si>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</si>
  <si>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</si>
  <si>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</si>
  <si>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</si>
  <si>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</si>
  <si>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</si>
  <si>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</si>
  <si>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</si>
  <si>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</si>
  <si>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</si>
  <si>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</si>
  <si>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</si>
  <si>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</si>
  <si>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</si>
  <si>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</si>
  <si>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</si>
  <si>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</si>
  <si>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</si>
  <si>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</si>
  <si>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</si>
  <si>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</si>
  <si>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</si>
  <si>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</si>
  <si>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</si>
  <si>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</si>
  <si>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</si>
  <si>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</si>
  <si>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</si>
  <si>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</si>
  <si>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</si>
  <si>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</si>
  <si>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</si>
  <si>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</si>
  <si>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</si>
  <si>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</si>
  <si>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</si>
  <si>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</si>
  <si>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</si>
  <si>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</si>
  <si>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</si>
  <si>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</si>
  <si>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</si>
  <si>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</si>
  <si>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</si>
  <si>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</si>
  <si>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</si>
  <si>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</si>
  <si>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</si>
  <si>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</si>
  <si>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</si>
  <si>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</si>
  <si>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</si>
  <si>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</si>
  <si>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</si>
  <si>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</si>
  <si>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</si>
  <si>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</si>
  <si>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</si>
  <si>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</si>
  <si>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</si>
  <si>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</si>
  <si>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</si>
  <si>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</si>
  <si>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</si>
  <si>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</si>
  <si>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</si>
  <si>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</si>
  <si>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</si>
  <si>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</si>
  <si>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</si>
  <si>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</si>
  <si>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</si>
  <si>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</si>
  <si>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</si>
  <si>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</si>
  <si>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</si>
  <si>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</si>
  <si>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</si>
  <si>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</si>
  <si>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</si>
  <si>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</si>
  <si>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</si>
  <si>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</si>
  <si>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</si>
  <si>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</si>
  <si>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</si>
  <si>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</si>
  <si>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</si>
  <si>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</si>
  <si>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</si>
  <si>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</si>
  <si>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</si>
  <si>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</si>
  <si>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</si>
  <si>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</si>
  <si>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</si>
  <si>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</si>
  <si>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</si>
  <si>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</si>
  <si>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</si>
  <si>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</si>
  <si>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</si>
  <si>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</si>
  <si>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</si>
  <si>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</si>
  <si>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</si>
  <si>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</si>
  <si>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</si>
  <si>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</si>
  <si>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</si>
  <si>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</si>
  <si>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</si>
  <si>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</si>
  <si>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</si>
  <si>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</si>
  <si>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</si>
  <si>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</si>
  <si>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</si>
  <si>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</si>
  <si>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</si>
  <si>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</si>
  <si>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</si>
  <si>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</si>
  <si>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</si>
  <si>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</si>
  <si>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</si>
  <si>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</si>
  <si>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</si>
  <si>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</si>
  <si>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</si>
  <si>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</si>
  <si>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</si>
  <si>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</si>
  <si>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</si>
  <si>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</si>
  <si>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</si>
  <si>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</si>
  <si>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</si>
  <si>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</si>
  <si>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</si>
  <si>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</si>
  <si>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</si>
  <si>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</si>
  <si>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</si>
  <si>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</si>
  <si>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</si>
  <si>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</si>
  <si>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</si>
  <si>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</si>
  <si>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</si>
  <si>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</si>
  <si>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</si>
  <si>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</si>
  <si>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</si>
  <si>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</si>
  <si>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</si>
  <si>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</si>
  <si>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</si>
  <si>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</si>
  <si>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</si>
  <si>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</si>
  <si>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</si>
  <si>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</si>
  <si>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</si>
  <si>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</si>
  <si>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</si>
  <si>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</si>
  <si>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</si>
  <si>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</si>
  <si>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</si>
  <si>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</si>
  <si>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</si>
  <si>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</si>
  <si>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</si>
  <si>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</si>
  <si>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</si>
  <si>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</si>
  <si>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</si>
  <si>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</si>
  <si>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</si>
  <si>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</si>
  <si>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</si>
  <si>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</si>
  <si>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</si>
  <si>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</si>
  <si>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</si>
  <si>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</si>
  <si>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</si>
  <si>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</si>
  <si>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</si>
  <si>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</si>
  <si>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</si>
  <si>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</si>
  <si>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</si>
  <si>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</si>
  <si>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</si>
  <si>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</si>
  <si>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</si>
  <si>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</si>
  <si>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</si>
  <si>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</si>
  <si>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</si>
  <si>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</si>
  <si>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</si>
  <si>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</si>
  <si>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</si>
  <si>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</si>
  <si>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</si>
  <si>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</si>
  <si>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</si>
  <si>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</si>
  <si>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</si>
  <si>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</si>
  <si>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</si>
  <si>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</si>
  <si>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</si>
  <si>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</si>
  <si>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</si>
  <si>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</si>
  <si>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</si>
  <si>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</si>
  <si>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</si>
  <si>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</si>
  <si>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</si>
  <si>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</si>
  <si>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</si>
  <si>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</si>
  <si>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</si>
  <si>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</si>
  <si>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</si>
  <si>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</si>
  <si>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</si>
  <si>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</si>
  <si>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</si>
  <si>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</si>
  <si>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</si>
  <si>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</si>
  <si>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</si>
  <si>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</si>
  <si>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</si>
  <si>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</si>
  <si>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</si>
  <si>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</si>
  <si>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</si>
  <si>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</si>
  <si>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</si>
  <si>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</si>
  <si>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</si>
  <si>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</si>
  <si>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</si>
  <si>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</si>
  <si>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</si>
  <si>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</si>
  <si>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</si>
  <si>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</si>
  <si>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</si>
  <si>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</si>
  <si>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</si>
  <si>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</si>
  <si>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</si>
  <si>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</si>
  <si>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</si>
  <si>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</si>
  <si>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</si>
  <si>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</si>
  <si>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</si>
  <si>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</si>
  <si>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</si>
  <si>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</si>
  <si>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</si>
  <si>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</si>
  <si>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</si>
  <si>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</si>
  <si>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</si>
  <si>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</si>
  <si>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</si>
  <si>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</si>
  <si>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</si>
  <si>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</si>
  <si>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</si>
  <si>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</si>
  <si>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</si>
  <si>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</si>
  <si>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</si>
  <si>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</si>
  <si>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</si>
  <si>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</si>
  <si>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</si>
  <si>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</si>
  <si>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</si>
  <si>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</si>
  <si>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</si>
  <si>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</si>
  <si>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</si>
  <si>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</si>
  <si>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</si>
  <si>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</si>
  <si>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</si>
  <si>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</si>
  <si>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</si>
  <si>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</si>
  <si>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</si>
  <si>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</si>
  <si>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</si>
  <si>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</si>
  <si>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</si>
  <si>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</si>
  <si>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</si>
  <si>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</si>
  <si>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</si>
  <si>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</si>
  <si>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</si>
  <si>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</si>
  <si>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</si>
  <si>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</si>
  <si>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</si>
  <si>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</si>
  <si>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</si>
  <si>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</si>
  <si>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</si>
  <si>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</si>
  <si>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</si>
  <si>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</si>
  <si>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</si>
  <si>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</si>
  <si>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</si>
  <si>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</si>
  <si>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</si>
  <si>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</si>
  <si>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</si>
  <si>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</si>
  <si>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</si>
  <si>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</si>
  <si>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</si>
  <si>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</si>
  <si>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</si>
  <si>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</si>
  <si>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</si>
  <si>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</si>
  <si>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</si>
  <si>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</si>
  <si>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</si>
  <si>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</si>
  <si>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</si>
  <si>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</si>
  <si>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</si>
  <si>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</si>
  <si>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</si>
  <si>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</si>
  <si>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</si>
  <si>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</si>
  <si>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</si>
  <si>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</si>
  <si>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</si>
  <si>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</si>
  <si>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</si>
  <si>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</si>
  <si>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</si>
  <si>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</si>
  <si>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</si>
  <si>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</si>
  <si>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</si>
  <si>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</si>
  <si>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</si>
  <si>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</si>
  <si>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</si>
  <si>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</si>
  <si>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</si>
  <si>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</si>
  <si>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</si>
  <si>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</si>
  <si>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</si>
  <si>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</si>
  <si>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</si>
  <si>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</si>
  <si>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</si>
  <si>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</si>
  <si>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</si>
  <si>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</si>
  <si>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</si>
  <si>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</si>
  <si>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</si>
  <si>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</si>
  <si>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</si>
  <si>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</si>
  <si>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</si>
  <si>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</si>
  <si>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</si>
  <si>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</si>
  <si>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</si>
  <si>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</si>
  <si>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</si>
  <si>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</si>
  <si>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</si>
  <si>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</si>
  <si>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</si>
  <si>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</si>
  <si>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</si>
  <si>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</si>
  <si>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</si>
  <si>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</si>
  <si>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</si>
  <si>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</si>
  <si>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</si>
  <si>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</si>
  <si>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</si>
  <si>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</si>
  <si>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</si>
  <si>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</si>
  <si>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</si>
  <si>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</si>
  <si>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</si>
  <si>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</si>
  <si>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</si>
  <si>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</si>
  <si>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</si>
  <si>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</si>
  <si>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</si>
  <si>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</si>
  <si>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</si>
  <si>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</si>
  <si>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</si>
  <si>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</si>
  <si>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</si>
  <si>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</si>
  <si>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</si>
  <si>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</si>
  <si>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</si>
  <si>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</si>
  <si>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</si>
  <si>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</si>
  <si>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</si>
  <si>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</si>
  <si>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</si>
  <si>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</si>
  <si>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</si>
  <si>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</si>
  <si>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</si>
  <si>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</si>
  <si>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</si>
  <si>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</si>
  <si>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</si>
  <si>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</si>
  <si>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</si>
  <si>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</si>
  <si>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</si>
  <si>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</si>
  <si>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</si>
  <si>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</si>
  <si>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</si>
  <si>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</si>
  <si>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</si>
  <si>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</si>
  <si>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</si>
  <si>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</si>
  <si>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</si>
  <si>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</si>
  <si>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</si>
  <si>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</si>
  <si>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</si>
  <si>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</si>
  <si>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</si>
  <si>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</si>
  <si>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</si>
  <si>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</si>
  <si>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</si>
  <si>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</si>
  <si>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</si>
  <si>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</si>
  <si>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</si>
  <si>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</si>
  <si>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</si>
  <si>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</si>
  <si>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</si>
  <si>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</si>
  <si>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</si>
  <si>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</si>
  <si>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</si>
  <si>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</si>
  <si>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</si>
  <si>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</si>
  <si>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</si>
  <si>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</si>
  <si>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</si>
  <si>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</si>
  <si>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</si>
  <si>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</si>
  <si>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</si>
  <si>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</si>
  <si>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</si>
  <si>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</si>
  <si>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</si>
  <si>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</si>
  <si>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</si>
  <si>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</si>
  <si>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</si>
  <si>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</si>
  <si>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</si>
  <si>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</si>
  <si>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</si>
  <si>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</si>
  <si>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</si>
  <si>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</si>
  <si>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</si>
  <si>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</si>
  <si>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</si>
  <si>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</si>
  <si>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</si>
  <si>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</si>
  <si>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</si>
  <si>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</si>
  <si>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</si>
  <si>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</si>
  <si>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</si>
  <si>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</si>
  <si>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</si>
  <si>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</si>
  <si>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</si>
  <si>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</si>
  <si>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</si>
  <si>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</si>
  <si>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</si>
  <si>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</si>
  <si>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</si>
  <si>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</si>
  <si>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</si>
  <si>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</si>
  <si>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</si>
  <si>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</si>
  <si>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</si>
  <si>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</si>
  <si>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</si>
  <si>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</si>
  <si>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</si>
  <si>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</si>
  <si>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</si>
  <si>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</si>
  <si>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</si>
  <si>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</si>
  <si>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</si>
  <si>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</si>
  <si>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</si>
  <si>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</si>
  <si>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</si>
  <si>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</si>
  <si>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</si>
  <si>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</si>
  <si>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</si>
  <si>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</si>
  <si>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</si>
  <si>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</si>
  <si>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</si>
  <si>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</si>
  <si>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</si>
  <si>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</si>
  <si>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</si>
  <si>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</si>
  <si>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</si>
  <si>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</si>
  <si>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</si>
  <si>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</si>
  <si>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</si>
  <si>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</si>
  <si>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</si>
  <si>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</si>
  <si>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</si>
  <si>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</si>
  <si>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</si>
  <si>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</si>
  <si>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</si>
  <si>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</si>
  <si>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</si>
  <si>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</si>
  <si>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</si>
  <si>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</si>
  <si>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</si>
  <si>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</si>
  <si>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</si>
  <si>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</si>
  <si>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</si>
  <si>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</si>
  <si>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</si>
  <si>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</si>
  <si>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</si>
  <si>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</si>
  <si>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</si>
  <si>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</si>
  <si>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</si>
  <si>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</si>
  <si>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</si>
  <si>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</si>
  <si>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</si>
  <si>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</si>
  <si>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</si>
  <si>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</si>
  <si>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</si>
  <si>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</si>
  <si>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</si>
  <si>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</si>
  <si>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</si>
  <si>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</si>
  <si>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</si>
  <si>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</si>
  <si>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</si>
  <si>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</si>
  <si>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</si>
  <si>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</si>
  <si>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</si>
  <si>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</si>
  <si>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</si>
  <si>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</si>
  <si>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</si>
  <si>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</si>
  <si>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</si>
  <si>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</si>
  <si>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</si>
  <si>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</si>
  <si>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</si>
  <si>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</si>
  <si>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</si>
  <si>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</si>
  <si>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</si>
  <si>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</si>
  <si>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</si>
  <si>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</si>
  <si>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</si>
  <si>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</si>
  <si>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</si>
  <si>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</si>
  <si>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</si>
  <si>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</si>
  <si>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</si>
  <si>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</si>
  <si>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</si>
  <si>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</si>
  <si>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</si>
  <si>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</si>
  <si>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</si>
  <si>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</si>
  <si>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</si>
  <si>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</si>
  <si>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</si>
  <si>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</si>
  <si>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</si>
  <si>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</si>
  <si>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</si>
  <si>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</si>
  <si>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</si>
  <si>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</si>
  <si>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</si>
  <si>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</si>
  <si>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</si>
  <si>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</si>
  <si>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</si>
  <si>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</si>
  <si>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</si>
  <si>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</si>
  <si>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</si>
  <si>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</si>
  <si>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</si>
  <si>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</si>
  <si>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</si>
  <si>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</si>
  <si>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</si>
  <si>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</si>
  <si>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</si>
  <si>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</si>
  <si>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</si>
  <si>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</si>
  <si>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</si>
  <si>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</si>
  <si>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</si>
  <si>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</si>
  <si>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</si>
  <si>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</si>
  <si>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</si>
  <si>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</si>
  <si>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</si>
  <si>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</si>
  <si>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</si>
  <si>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</si>
  <si>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</si>
  <si>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</si>
  <si>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</si>
  <si>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</si>
  <si>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</si>
  <si>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</si>
  <si>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</si>
  <si>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</si>
  <si>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</si>
  <si>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</si>
  <si>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</si>
  <si>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</si>
  <si>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</si>
  <si>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</si>
  <si>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</si>
  <si>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</si>
  <si>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</si>
  <si>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</si>
  <si>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</si>
  <si>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</si>
  <si>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</si>
  <si>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</si>
  <si>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</si>
  <si>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</si>
  <si>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</si>
  <si>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</si>
  <si>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</si>
  <si>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</si>
  <si>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</si>
  <si>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</si>
  <si>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</si>
  <si>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</si>
  <si>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</si>
  <si>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</si>
  <si>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</si>
  <si>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</si>
  <si>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</si>
  <si>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</si>
  <si>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</si>
  <si>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</si>
  <si>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</si>
  <si>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</si>
  <si>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</si>
  <si>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</si>
  <si>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</si>
  <si>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</si>
  <si>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</si>
  <si>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</si>
  <si>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</si>
  <si>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</si>
  <si>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</si>
  <si>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</si>
  <si>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</si>
  <si>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</si>
  <si>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</si>
  <si>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</si>
  <si>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</si>
  <si>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</si>
  <si>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</si>
  <si>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</si>
  <si>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</si>
  <si>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</si>
  <si>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</si>
  <si>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</si>
  <si>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</si>
  <si>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</si>
  <si>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</si>
  <si>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</si>
  <si>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</si>
  <si>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</si>
  <si>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</si>
  <si>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</si>
  <si>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</si>
  <si>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</si>
  <si>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</si>
  <si>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</si>
  <si>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</si>
  <si>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</si>
  <si>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</si>
  <si>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</si>
  <si>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</si>
  <si>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</si>
  <si>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</si>
  <si>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</si>
  <si>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</si>
  <si>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</si>
  <si>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</si>
  <si>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</si>
  <si>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</si>
  <si>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</si>
  <si>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</si>
  <si>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</si>
  <si>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</si>
  <si>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</si>
  <si>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</si>
  <si>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</si>
  <si>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</si>
  <si>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</si>
  <si>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</si>
  <si>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</si>
  <si>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</si>
  <si>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</si>
  <si>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</si>
  <si>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</si>
  <si>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</si>
  <si>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</si>
  <si>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</si>
  <si>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</si>
  <si>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</si>
  <si>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</si>
  <si>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</si>
  <si>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</si>
  <si>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</si>
  <si>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</si>
  <si>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</si>
  <si>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</si>
  <si>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</si>
  <si>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</si>
  <si>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</si>
  <si>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</si>
  <si>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</si>
  <si>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</si>
  <si>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</si>
  <si>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</si>
  <si>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</si>
  <si>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</si>
  <si>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</si>
  <si>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</si>
  <si>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</si>
  <si>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</si>
  <si>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</si>
  <si>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</si>
  <si>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</si>
  <si>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</si>
  <si>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</si>
  <si>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</si>
  <si>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</si>
  <si>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</si>
  <si>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</si>
  <si>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</si>
  <si>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</si>
  <si>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</si>
  <si>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</si>
  <si>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</si>
  <si>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</si>
  <si>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</si>
  <si>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</si>
  <si>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</si>
  <si>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</si>
  <si>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</si>
  <si>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</si>
  <si>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</si>
  <si>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</si>
  <si>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</si>
  <si>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</si>
  <si>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</si>
  <si>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</si>
  <si>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</si>
  <si>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</si>
  <si>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</si>
  <si>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</si>
  <si>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</si>
  <si>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</si>
  <si>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</si>
  <si>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</si>
  <si>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</si>
  <si>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</si>
  <si>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</si>
  <si>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</si>
  <si>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</si>
  <si>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</si>
  <si>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</si>
  <si>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</si>
  <si>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</si>
  <si>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</si>
  <si>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</si>
  <si>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</si>
  <si>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</si>
  <si>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</si>
  <si>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</si>
  <si>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</si>
  <si>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</si>
  <si>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</si>
  <si>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</si>
  <si>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</si>
  <si>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</si>
  <si>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</si>
  <si>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</si>
  <si>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</si>
  <si>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</si>
  <si>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</si>
  <si>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</si>
  <si>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</si>
  <si>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</si>
  <si>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</si>
  <si>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</si>
  <si>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</si>
  <si>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</si>
  <si>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</si>
  <si>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</si>
  <si>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</si>
  <si>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</si>
  <si>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</si>
  <si>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</si>
  <si>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</si>
  <si>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</si>
  <si>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</si>
  <si>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</si>
  <si>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</si>
  <si>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</si>
  <si>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</si>
  <si>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</si>
  <si>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</si>
  <si>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</si>
  <si>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</si>
  <si>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</si>
  <si>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</si>
  <si>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</si>
  <si>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</si>
  <si>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</si>
  <si>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</si>
  <si>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</si>
  <si>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</si>
  <si>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</si>
  <si>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</si>
  <si>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</si>
  <si>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</si>
  <si>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</si>
  <si>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</si>
  <si>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</si>
  <si>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</si>
  <si>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</si>
  <si>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</si>
  <si>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</si>
  <si>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</si>
  <si>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</si>
  <si>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</si>
  <si>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</si>
  <si>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</si>
  <si>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</si>
  <si>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</si>
  <si>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</si>
  <si>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</si>
  <si>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</si>
  <si>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</si>
  <si>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</si>
  <si>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</si>
  <si>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</si>
  <si>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</si>
  <si>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</si>
  <si>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</si>
  <si>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</si>
  <si>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</si>
  <si>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</si>
  <si>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</si>
  <si>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</si>
  <si>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</si>
  <si>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</si>
  <si>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</si>
  <si>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</si>
  <si>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</si>
  <si>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</si>
  <si>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</si>
  <si>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</si>
  <si>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</si>
  <si>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</si>
  <si>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</si>
  <si>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</si>
  <si>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</si>
  <si>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</si>
  <si>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</si>
  <si>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</si>
  <si>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</si>
  <si>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</si>
  <si>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</si>
  <si>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</si>
  <si>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</si>
  <si>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</si>
  <si>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</si>
  <si>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</si>
  <si>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</si>
  <si>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</si>
  <si>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</si>
  <si>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</si>
  <si>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</si>
  <si>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</si>
  <si>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</si>
  <si>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</si>
  <si>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</si>
  <si>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</si>
  <si>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</si>
  <si>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</si>
  <si>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</si>
  <si>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</si>
  <si>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</si>
  <si>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</si>
  <si>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</si>
  <si>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</si>
  <si>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</si>
  <si>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</si>
  <si>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</si>
  <si>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</si>
  <si>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</si>
  <si>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</si>
  <si>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</si>
  <si>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</si>
  <si>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</si>
  <si>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</si>
  <si>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</si>
  <si>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</si>
  <si>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</si>
  <si>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</si>
  <si>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</si>
  <si>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</si>
  <si>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</si>
  <si>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</si>
  <si>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</si>
  <si>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</si>
  <si>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</si>
  <si>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</si>
  <si>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</si>
  <si>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</si>
  <si>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</si>
  <si>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</si>
  <si>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</si>
  <si>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</si>
  <si>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</si>
  <si>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</si>
  <si>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</si>
  <si>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</si>
  <si>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</si>
  <si>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</si>
  <si>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</si>
  <si>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</si>
  <si>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</si>
  <si>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</si>
  <si>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</si>
  <si>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</si>
  <si>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</si>
  <si>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</si>
  <si>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</si>
  <si>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</si>
  <si>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</si>
  <si>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</si>
  <si>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</si>
  <si>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</si>
  <si>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</si>
  <si>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</si>
  <si>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</si>
  <si>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</si>
  <si>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</si>
  <si>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</si>
  <si>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</si>
  <si>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</si>
  <si>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</si>
  <si>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</si>
  <si>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</si>
  <si>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</si>
  <si>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</si>
  <si>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</si>
  <si>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</si>
  <si>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</si>
  <si>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</si>
  <si>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</si>
  <si>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</si>
  <si>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</si>
  <si>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</si>
  <si>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</si>
  <si>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</si>
  <si>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</si>
  <si>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</si>
  <si>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</si>
  <si>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</si>
  <si>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</si>
  <si>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</si>
  <si>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</si>
  <si>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</si>
  <si>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</si>
  <si>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</si>
  <si>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</si>
  <si>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</si>
  <si>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</si>
  <si>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</si>
  <si>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</si>
  <si>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</si>
  <si>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</si>
  <si>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</si>
  <si>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</si>
  <si>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</si>
  <si>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</si>
  <si>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</si>
  <si>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</si>
  <si>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</si>
  <si>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</si>
  <si>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</si>
  <si>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</si>
  <si>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</si>
  <si>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</si>
  <si>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</si>
  <si>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</si>
  <si>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</si>
  <si>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</si>
  <si>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</si>
  <si>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</si>
  <si>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</si>
  <si>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</si>
  <si>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</si>
  <si>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</si>
  <si>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</si>
  <si>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</si>
  <si>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</si>
  <si>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</si>
  <si>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</si>
  <si>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</si>
  <si>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</si>
  <si>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</si>
  <si>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</si>
  <si>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</si>
  <si>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</si>
  <si>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</si>
  <si>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</si>
  <si>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</si>
  <si>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</si>
  <si>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</si>
  <si>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</si>
  <si>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</si>
  <si>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</si>
  <si>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</si>
  <si>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</si>
  <si>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</si>
  <si>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</si>
  <si>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</si>
  <si>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</si>
  <si>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</si>
  <si>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</si>
  <si>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</si>
  <si>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</si>
  <si>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</si>
  <si>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</si>
  <si>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</si>
  <si>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</si>
  <si>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</si>
  <si>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</si>
  <si>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</si>
  <si>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</si>
  <si>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</si>
  <si>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</si>
  <si>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</si>
  <si>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</si>
  <si>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</si>
  <si>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</si>
  <si>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</si>
  <si>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</si>
  <si>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</si>
  <si>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</si>
  <si>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</si>
  <si>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</si>
  <si>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</si>
  <si>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</si>
  <si>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</si>
  <si>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</si>
  <si>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</si>
  <si>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</si>
  <si>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</si>
  <si>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</si>
  <si>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</si>
  <si>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</si>
  <si>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</si>
  <si>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</si>
  <si>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</si>
  <si>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</si>
  <si>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</si>
  <si>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</si>
  <si>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</si>
  <si>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</si>
  <si>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</si>
  <si>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</si>
  <si>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</si>
  <si>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</si>
  <si>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</si>
  <si>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</si>
  <si>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</si>
  <si>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</si>
  <si>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</si>
  <si>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</si>
  <si>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</si>
  <si>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</si>
  <si>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</si>
  <si>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</si>
  <si>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</si>
  <si>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</si>
  <si>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</si>
  <si>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</si>
  <si>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</si>
  <si>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</si>
  <si>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</si>
  <si>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</si>
  <si>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</si>
  <si>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</si>
  <si>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</si>
  <si>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</si>
  <si>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</si>
  <si>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</si>
  <si>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</si>
  <si>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</si>
  <si>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</si>
  <si>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</si>
  <si>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</si>
  <si>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</si>
  <si>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</si>
  <si>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</si>
  <si>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</si>
  <si>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</si>
  <si>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</si>
  <si>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</si>
  <si>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</si>
  <si>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</si>
  <si>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</si>
  <si>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</si>
  <si>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</si>
  <si>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</si>
  <si>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</si>
  <si>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</si>
  <si>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</si>
  <si>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</si>
  <si>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</si>
  <si>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</si>
  <si>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</si>
  <si>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</si>
  <si>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</si>
  <si>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</si>
  <si>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</si>
  <si>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</si>
  <si>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</si>
  <si>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</si>
  <si>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</si>
  <si>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</si>
  <si>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</si>
  <si>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</si>
  <si>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</si>
  <si>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</si>
  <si>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</si>
  <si>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</si>
  <si>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</si>
  <si>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</si>
  <si>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</si>
  <si>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</si>
  <si>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</si>
  <si>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</si>
  <si>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</si>
  <si>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</si>
  <si>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</si>
  <si>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</si>
  <si>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</si>
  <si>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</si>
  <si>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</si>
  <si>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</si>
  <si>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</si>
  <si>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</si>
  <si>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</si>
  <si>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</si>
  <si>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</si>
  <si>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</si>
  <si>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</si>
  <si>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</si>
  <si>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</si>
  <si>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</si>
  <si>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</si>
  <si>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</si>
  <si>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</si>
  <si>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</si>
  <si>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</si>
  <si>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</si>
  <si>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</si>
  <si>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</si>
  <si>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</si>
  <si>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</si>
  <si>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</si>
  <si>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</si>
  <si>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</si>
  <si>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</si>
  <si>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</si>
  <si>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</si>
  <si>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</si>
  <si>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</si>
  <si>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</si>
  <si>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</si>
  <si>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</si>
  <si>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</si>
  <si>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</si>
  <si>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</si>
  <si>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</si>
  <si>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</si>
  <si>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</si>
  <si>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</si>
  <si>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</si>
  <si>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</si>
  <si>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</si>
  <si>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</si>
  <si>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</si>
  <si>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</si>
  <si>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</si>
  <si>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</si>
  <si>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</si>
  <si>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</si>
  <si>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</si>
  <si>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</si>
  <si>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</si>
  <si>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</si>
  <si>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</si>
  <si>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</si>
  <si>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</si>
  <si>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</si>
  <si>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</si>
  <si>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</si>
  <si>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</si>
  <si>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</si>
  <si>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</si>
  <si>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</si>
  <si>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</si>
  <si>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</si>
  <si>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</si>
  <si>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</si>
  <si>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</si>
  <si>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</si>
  <si>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</si>
  <si>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</si>
  <si>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</si>
  <si>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</si>
  <si>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</si>
  <si>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</si>
  <si>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</si>
  <si>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</si>
  <si>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</si>
  <si>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</si>
  <si>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</si>
  <si>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</si>
  <si>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</si>
  <si>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</si>
  <si>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</si>
  <si>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</si>
  <si>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</si>
  <si>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</si>
  <si>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</si>
  <si>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</si>
  <si>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</si>
  <si>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</si>
  <si>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</si>
  <si>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</si>
  <si>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</si>
  <si>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</si>
  <si>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</si>
  <si>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</si>
  <si>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</si>
  <si>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</si>
  <si>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</si>
  <si>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</si>
  <si>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</si>
  <si>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</si>
  <si>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</si>
  <si>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</si>
  <si>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</si>
  <si>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</si>
  <si>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</si>
  <si>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</si>
  <si>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</si>
  <si>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</si>
  <si>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</si>
  <si>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</si>
  <si>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</si>
  <si>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</si>
  <si>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</si>
  <si>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</si>
  <si>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</si>
  <si>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</si>
  <si>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</si>
  <si>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</si>
  <si>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</si>
  <si>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</si>
  <si>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</si>
  <si>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</si>
  <si>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</si>
  <si>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</si>
  <si>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</si>
  <si>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</si>
  <si>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</si>
  <si>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</si>
  <si>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</si>
  <si>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</si>
  <si>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</si>
  <si>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</si>
  <si>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</si>
  <si>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</si>
  <si>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</si>
  <si>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</si>
  <si>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</si>
  <si>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</si>
  <si>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</si>
  <si>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</si>
  <si>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</si>
  <si>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</si>
  <si>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</si>
  <si>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</si>
  <si>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</si>
  <si>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</si>
  <si>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</si>
  <si>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</si>
  <si>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</si>
  <si>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</si>
  <si>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</si>
  <si>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</si>
  <si>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</si>
  <si>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</si>
  <si>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</si>
  <si>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</si>
  <si>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</si>
  <si>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</si>
  <si>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</si>
  <si>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</si>
  <si>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</si>
  <si>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</si>
  <si>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</si>
  <si>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</si>
  <si>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</si>
  <si>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</si>
  <si>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</si>
  <si>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</si>
  <si>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</si>
  <si>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</si>
  <si>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</si>
  <si>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</si>
  <si>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</si>
  <si>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</si>
  <si>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</si>
  <si>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</si>
  <si>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</si>
  <si>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</si>
  <si>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</si>
  <si>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</si>
  <si>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</si>
  <si>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</si>
  <si>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</si>
  <si>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</si>
  <si>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</si>
  <si>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</si>
  <si>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</si>
  <si>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</si>
  <si>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</si>
  <si>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</si>
  <si>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</si>
  <si>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</si>
  <si>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</si>
  <si>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</si>
  <si>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</si>
  <si>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</si>
  <si>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</si>
  <si>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</si>
  <si>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</si>
  <si>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</si>
  <si>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</si>
  <si>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</si>
  <si>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</si>
  <si>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</si>
  <si>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</si>
  <si>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</si>
  <si>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</si>
  <si>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</si>
  <si>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</si>
  <si>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</si>
  <si>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</si>
  <si>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</si>
  <si>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</si>
  <si>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</si>
  <si>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</si>
  <si>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</si>
  <si>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</si>
  <si>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</si>
  <si>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</si>
  <si>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</si>
  <si>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</si>
  <si>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</si>
  <si>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</si>
  <si>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</si>
  <si>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</si>
  <si>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</si>
  <si>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</si>
  <si>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</si>
  <si>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</si>
  <si>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</si>
  <si>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</si>
  <si>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</si>
  <si>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</si>
  <si>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</si>
  <si>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</si>
  <si>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</si>
  <si>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</si>
  <si>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</si>
  <si>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</si>
  <si>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</si>
  <si>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</si>
  <si>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</si>
  <si>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</si>
  <si>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</si>
  <si>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</si>
  <si>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</si>
  <si>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</si>
  <si>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</si>
  <si>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</si>
  <si>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</si>
  <si>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</si>
  <si>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</si>
  <si>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</si>
  <si>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</si>
  <si>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</si>
  <si>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</si>
  <si>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</si>
  <si>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</si>
  <si>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</si>
  <si>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</si>
  <si>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</si>
  <si>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</si>
  <si>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</si>
  <si>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</si>
  <si>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</si>
  <si>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</si>
  <si>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</si>
  <si>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</si>
  <si>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</si>
  <si>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</si>
  <si>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</si>
  <si>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</si>
  <si>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</si>
  <si>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</si>
  <si>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</si>
  <si>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</si>
  <si>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</si>
  <si>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</si>
  <si>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</si>
  <si>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</si>
  <si>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</si>
  <si>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</si>
  <si>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</si>
  <si>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</si>
  <si>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</si>
  <si>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</si>
  <si>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</si>
  <si>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</si>
  <si>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</si>
  <si>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</si>
  <si>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</si>
  <si>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</si>
  <si>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</si>
  <si>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</si>
  <si>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</si>
  <si>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</si>
  <si>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</si>
  <si>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</si>
  <si>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</si>
  <si>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</si>
  <si>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</si>
  <si>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</si>
  <si>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</si>
  <si>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</si>
  <si>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</si>
  <si>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</si>
  <si>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</si>
  <si>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</si>
  <si>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</si>
  <si>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</si>
  <si>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</si>
  <si>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</si>
  <si>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</si>
  <si>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</si>
  <si>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</si>
  <si>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</si>
  <si>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</si>
  <si>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</si>
  <si>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</si>
  <si>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</si>
  <si>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</si>
  <si>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</si>
  <si>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</si>
  <si>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</si>
  <si>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</si>
  <si>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</si>
  <si>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</si>
  <si>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</si>
  <si>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</si>
  <si>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</si>
  <si>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</si>
  <si>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</si>
  <si>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</si>
  <si>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</si>
  <si>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</si>
  <si>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</si>
  <si>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</si>
  <si>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</si>
  <si>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</si>
  <si>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</si>
  <si>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</si>
  <si>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</si>
  <si>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</si>
  <si>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</si>
  <si>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</si>
  <si>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</si>
  <si>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</si>
  <si>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</si>
  <si>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</si>
  <si>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</si>
  <si>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</si>
  <si>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</si>
  <si>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</si>
  <si>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</si>
  <si>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</si>
  <si>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</si>
  <si>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</si>
  <si>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</si>
  <si>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</si>
  <si>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</si>
  <si>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</si>
  <si>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</si>
  <si>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</si>
  <si>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</si>
  <si>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</si>
  <si>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</si>
  <si>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</si>
  <si>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</si>
  <si>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</si>
  <si>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</si>
  <si>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</si>
  <si>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</si>
  <si>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</si>
  <si>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</si>
  <si>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</si>
  <si>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</si>
  <si>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</si>
  <si>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</si>
  <si>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</si>
  <si>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</si>
  <si>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</si>
  <si>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</si>
  <si>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</si>
  <si>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</si>
  <si>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</si>
  <si>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</si>
  <si>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</si>
  <si>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</si>
  <si>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</si>
  <si>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</si>
  <si>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</si>
  <si>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</si>
  <si>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</si>
  <si>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</si>
  <si>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</si>
  <si>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</si>
  <si>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</si>
  <si>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</si>
  <si>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</si>
  <si>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</si>
  <si>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</si>
  <si>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</si>
  <si>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</si>
  <si>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</si>
  <si>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</si>
  <si>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</si>
  <si>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</si>
  <si>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</si>
  <si>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</si>
  <si>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</si>
  <si>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</si>
  <si>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</si>
  <si>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</si>
  <si>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</si>
  <si>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</si>
  <si>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</si>
  <si>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</si>
  <si>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</si>
  <si>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</si>
  <si>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</si>
  <si>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</si>
  <si>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</si>
  <si>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</si>
  <si>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</si>
  <si>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</si>
  <si>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</si>
  <si>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</si>
  <si>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</si>
  <si>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</si>
  <si>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</si>
  <si>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</si>
  <si>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</si>
  <si>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</si>
  <si>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</si>
  <si>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</si>
  <si>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</si>
  <si>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</si>
  <si>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</si>
  <si>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</si>
  <si>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</si>
  <si>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</si>
  <si>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</si>
  <si>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</si>
  <si>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</si>
  <si>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</si>
  <si>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</si>
  <si>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</si>
  <si>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</si>
  <si>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</si>
  <si>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</si>
  <si>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</si>
  <si>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</si>
  <si>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</si>
  <si>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</si>
  <si>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</si>
  <si>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</si>
  <si>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</si>
  <si>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</si>
  <si>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</si>
  <si>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</si>
  <si>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</si>
  <si>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</si>
  <si>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</si>
  <si>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</si>
  <si>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</si>
  <si>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</si>
  <si>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</si>
  <si>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</si>
  <si>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</si>
  <si>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</si>
  <si>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</si>
  <si>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</si>
  <si>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</si>
  <si>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</si>
  <si>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</si>
  <si>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</si>
  <si>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</si>
  <si>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</si>
  <si>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</si>
  <si>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</si>
  <si>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</si>
  <si>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</si>
  <si>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</si>
  <si>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</si>
  <si>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</si>
  <si>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</si>
  <si>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</si>
  <si>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</si>
  <si>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</si>
  <si>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</si>
  <si>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</si>
  <si>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</si>
  <si>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</si>
  <si>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</si>
  <si>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</si>
  <si>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</si>
  <si>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</si>
  <si>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</si>
  <si>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</si>
  <si>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</si>
  <si>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</si>
  <si>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</si>
  <si>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</si>
  <si>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</si>
  <si>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</si>
  <si>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</si>
  <si>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</si>
  <si>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</si>
  <si>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</si>
  <si>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</si>
  <si>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</si>
  <si>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</si>
  <si>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</si>
  <si>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</si>
  <si>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</si>
  <si>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</si>
  <si>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</si>
  <si>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</si>
  <si>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</si>
  <si>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</si>
  <si>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</si>
  <si>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</si>
  <si>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</si>
  <si>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</si>
  <si>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</si>
  <si>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</si>
  <si>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</si>
  <si>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</si>
  <si>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</si>
  <si>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</si>
  <si>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</si>
  <si>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</si>
  <si>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</si>
  <si>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</si>
  <si>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</si>
  <si>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</si>
  <si>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</si>
  <si>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</si>
  <si>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</si>
  <si>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</si>
  <si>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</si>
  <si>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</si>
  <si>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</si>
  <si>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</si>
  <si>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</si>
  <si>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</si>
  <si>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</si>
  <si>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</si>
  <si>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</si>
  <si>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</si>
  <si>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</si>
  <si>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</si>
  <si>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</si>
  <si>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</si>
  <si>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</si>
  <si>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</si>
  <si>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</si>
  <si>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</si>
  <si>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</si>
  <si>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</si>
  <si>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</si>
  <si>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</si>
  <si>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</si>
  <si>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</si>
  <si>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</si>
  <si>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</si>
  <si>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</si>
  <si>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</si>
  <si>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</si>
  <si>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</si>
  <si>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</si>
  <si>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</si>
  <si>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</si>
  <si>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</si>
  <si>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</si>
  <si>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</si>
  <si>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</si>
  <si>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</si>
  <si>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</si>
  <si>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</si>
  <si>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</si>
  <si>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</si>
  <si>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</si>
  <si>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</si>
  <si>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</si>
  <si>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</si>
  <si>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</si>
  <si>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</si>
  <si>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</si>
  <si>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</si>
  <si>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</si>
  <si>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</si>
  <si>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</si>
  <si>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</si>
  <si>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</si>
  <si>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</si>
  <si>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</si>
  <si>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</si>
  <si>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</si>
  <si>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</si>
  <si>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</si>
  <si>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</si>
  <si>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</si>
  <si>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</si>
  <si>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</si>
  <si>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</si>
  <si>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</si>
  <si>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</si>
  <si>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</si>
  <si>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</si>
  <si>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</si>
  <si>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</si>
  <si>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</si>
  <si>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</si>
  <si>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</si>
  <si>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</si>
  <si>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</si>
  <si>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</si>
  <si>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</si>
  <si>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</si>
  <si>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</si>
  <si>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</si>
  <si>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</si>
  <si>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</si>
  <si>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</si>
  <si>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</si>
  <si>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</si>
  <si>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</si>
  <si>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</si>
  <si>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</si>
  <si>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</si>
  <si>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</si>
  <si>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</si>
  <si>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</si>
  <si>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</si>
  <si>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</si>
  <si>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</si>
  <si>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</si>
  <si>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</si>
  <si>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</si>
  <si>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</si>
  <si>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</si>
  <si>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</si>
  <si>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</si>
  <si>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</si>
  <si>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</si>
  <si>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</si>
  <si>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</si>
  <si>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</si>
  <si>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</si>
  <si>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</si>
  <si>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</si>
  <si>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</si>
  <si>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</si>
  <si>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</si>
  <si>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</si>
  <si>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</si>
  <si>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</si>
  <si>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</si>
  <si>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</si>
  <si>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</si>
  <si>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</si>
  <si>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</si>
  <si>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</si>
  <si>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</si>
  <si>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</si>
  <si>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</si>
  <si>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</si>
  <si>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</si>
  <si>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</si>
  <si>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</si>
  <si>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</si>
  <si>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</si>
  <si>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</si>
  <si>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</si>
  <si>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</si>
  <si>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</si>
  <si>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</si>
  <si>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</si>
  <si>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</si>
  <si>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</si>
  <si>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</si>
  <si>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</si>
  <si>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</si>
  <si>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</si>
  <si>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</si>
  <si>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</si>
  <si>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</si>
  <si>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</si>
  <si>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</si>
  <si>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</si>
  <si>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</si>
  <si>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</si>
  <si>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</si>
  <si>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</si>
  <si>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</si>
  <si>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</si>
  <si>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</si>
  <si>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</si>
  <si>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</si>
  <si>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</si>
  <si>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</si>
  <si>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</si>
  <si>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</si>
  <si>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</si>
  <si>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</si>
  <si>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</si>
  <si>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</si>
  <si>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</si>
  <si>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</si>
  <si>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</si>
  <si>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</si>
  <si>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</si>
  <si>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</si>
  <si>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</si>
  <si>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</si>
  <si>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</si>
  <si>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</si>
  <si>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</si>
  <si>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</si>
  <si>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</si>
  <si>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</si>
  <si>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</si>
  <si>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</si>
  <si>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</si>
  <si>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</si>
  <si>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</si>
  <si>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</si>
  <si>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</si>
  <si>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</si>
  <si>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</si>
  <si>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</si>
  <si>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</si>
  <si>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</si>
  <si>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</si>
  <si>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</si>
  <si>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</si>
  <si>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</si>
  <si>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</si>
  <si>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</si>
  <si>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</si>
  <si>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</si>
  <si>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</si>
  <si>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</si>
  <si>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</si>
  <si>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</si>
  <si>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</si>
  <si>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</si>
  <si>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</si>
  <si>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</si>
  <si>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</si>
  <si>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</si>
  <si>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</si>
  <si>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</si>
  <si>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</si>
  <si>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</si>
  <si>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</si>
  <si>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</si>
  <si>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</si>
  <si>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</si>
  <si>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</si>
  <si>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</si>
  <si>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</si>
  <si>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</si>
  <si>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</si>
  <si>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</si>
  <si>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</si>
  <si>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</si>
  <si>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</si>
  <si>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</si>
  <si>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</si>
  <si>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</si>
  <si>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</si>
  <si>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</si>
  <si>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</si>
  <si>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</si>
  <si>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</si>
  <si>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</si>
  <si>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</si>
  <si>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</si>
  <si>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</si>
  <si>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</si>
  <si>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</si>
  <si>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</si>
  <si>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</si>
  <si>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</si>
  <si>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</si>
  <si>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</si>
  <si>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</si>
  <si>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</si>
  <si>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</si>
  <si>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</si>
  <si>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</si>
  <si>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</si>
  <si>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</si>
  <si>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</si>
  <si>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</si>
  <si>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</si>
  <si>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</si>
  <si>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</si>
  <si>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</si>
  <si>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</si>
  <si>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</si>
  <si>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</si>
  <si>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</si>
  <si>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</si>
  <si>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</si>
  <si>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</si>
  <si>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</si>
  <si>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</si>
  <si>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</si>
  <si>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</si>
  <si>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</si>
  <si>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</si>
  <si>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</si>
  <si>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</si>
  <si>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</si>
  <si>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</si>
  <si>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</si>
  <si>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</si>
  <si>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</si>
  <si>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</si>
  <si>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</si>
  <si>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</si>
  <si>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</si>
  <si>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</si>
  <si>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</si>
  <si>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</si>
  <si>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</si>
  <si>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</si>
  <si>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</si>
  <si>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</si>
  <si>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</si>
  <si>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</si>
  <si>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</si>
  <si>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</si>
  <si>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</si>
  <si>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</si>
  <si>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</si>
  <si>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</si>
  <si>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</si>
  <si>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</si>
  <si>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</si>
  <si>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</si>
  <si>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</si>
  <si>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</si>
  <si>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</si>
  <si>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</si>
  <si>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</si>
  <si>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</si>
  <si>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</si>
  <si>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</si>
  <si>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</si>
  <si>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</si>
  <si>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</si>
  <si>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</si>
  <si>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</si>
  <si>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</si>
  <si>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</si>
  <si>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</si>
  <si>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</si>
  <si>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</si>
  <si>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</si>
  <si>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</si>
  <si>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</si>
  <si>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</si>
  <si>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</si>
  <si>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</si>
  <si>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</si>
  <si>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</si>
  <si>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</si>
  <si>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</si>
  <si>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</si>
  <si>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</si>
  <si>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</si>
  <si>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</si>
  <si>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</si>
  <si>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</si>
  <si>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</si>
  <si>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</si>
  <si>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</si>
  <si>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</si>
  <si>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</si>
  <si>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</si>
  <si>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</si>
  <si>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</si>
  <si>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</si>
  <si>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</si>
  <si>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</si>
  <si>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</si>
  <si>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</si>
  <si>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</si>
  <si>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</si>
  <si>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</si>
  <si>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</si>
  <si>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</si>
  <si>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</si>
  <si>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</si>
  <si>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</si>
  <si>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</si>
  <si>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</si>
  <si>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</si>
  <si>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</si>
  <si>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</si>
  <si>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</si>
  <si>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</si>
  <si>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</si>
  <si>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</si>
  <si>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</si>
  <si>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</si>
  <si>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</si>
  <si>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</si>
  <si>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</si>
  <si>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</si>
  <si>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</si>
  <si>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</si>
  <si>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</si>
  <si>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</si>
  <si>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</si>
  <si>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</si>
  <si>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</si>
  <si>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</si>
  <si>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</si>
  <si>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</si>
  <si>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</si>
  <si>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</si>
  <si>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</si>
  <si>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</si>
  <si>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</si>
  <si>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</si>
  <si>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</si>
  <si>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</si>
  <si>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</si>
  <si>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</si>
  <si>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</si>
  <si>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</si>
  <si>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</si>
  <si>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</si>
  <si>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</si>
  <si>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</si>
  <si>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</si>
  <si>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</si>
  <si>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</si>
  <si>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</si>
  <si>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</si>
  <si>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</si>
  <si>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</si>
  <si>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</si>
  <si>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</si>
  <si>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</si>
  <si>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</si>
  <si>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</si>
  <si>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</si>
  <si>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</si>
  <si>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</si>
  <si>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</si>
  <si>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</si>
  <si>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</si>
  <si>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</si>
  <si>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</si>
  <si>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</si>
  <si>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</si>
  <si>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</si>
  <si>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</si>
  <si>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</si>
  <si>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</si>
  <si>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</si>
  <si>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</si>
  <si>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</si>
  <si>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</si>
  <si>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</si>
  <si>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</si>
  <si>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</si>
  <si>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</si>
  <si>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</si>
  <si>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</si>
  <si>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</si>
  <si>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</si>
  <si>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</si>
  <si>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</si>
  <si>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</si>
  <si>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</si>
  <si>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</si>
  <si>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</si>
  <si>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</si>
  <si>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</si>
  <si>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</si>
  <si>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</si>
  <si>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</si>
  <si>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</si>
  <si>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</si>
  <si>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</si>
  <si>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</si>
  <si>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</si>
  <si>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</si>
  <si>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</si>
  <si>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</si>
  <si>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</si>
  <si>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</si>
  <si>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</si>
  <si>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</si>
  <si>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</si>
  <si>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</si>
  <si>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</si>
  <si>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</si>
  <si>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</si>
  <si>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</si>
  <si>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</si>
  <si>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</si>
  <si>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</si>
  <si>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</si>
  <si>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</si>
  <si>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</si>
  <si>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</si>
  <si>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</si>
  <si>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</si>
  <si>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</si>
  <si>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</si>
  <si>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</si>
  <si>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</si>
  <si>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</si>
  <si>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</si>
  <si>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</si>
  <si>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</si>
  <si>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</si>
  <si>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</si>
  <si>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</si>
  <si>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</si>
  <si>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</si>
  <si>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</si>
  <si>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</si>
  <si>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</si>
  <si>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</si>
  <si>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</si>
  <si>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</si>
  <si>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</si>
  <si>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</si>
  <si>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</si>
  <si>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</si>
  <si>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</si>
  <si>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</si>
  <si>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</si>
  <si>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</si>
  <si>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</si>
  <si>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</si>
  <si>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</si>
  <si>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</si>
  <si>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</si>
  <si>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</si>
  <si>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</si>
  <si>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</si>
  <si>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</si>
  <si>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</si>
  <si>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</si>
  <si>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</si>
  <si>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</si>
  <si>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</si>
  <si>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</si>
  <si>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</si>
  <si>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</si>
  <si>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</si>
  <si>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</si>
  <si>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</si>
  <si>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</si>
  <si>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</si>
  <si>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</si>
  <si>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</si>
  <si>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</si>
  <si>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</si>
  <si>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</si>
  <si>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</si>
  <si>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</si>
  <si>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</si>
  <si>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</si>
  <si>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</si>
  <si>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</si>
  <si>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</si>
  <si>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</si>
  <si>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</si>
  <si>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</si>
  <si>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</si>
  <si>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</si>
  <si>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</si>
  <si>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</si>
  <si>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</si>
  <si>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</si>
  <si>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</si>
  <si>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</si>
  <si>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</si>
  <si>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</si>
  <si>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</si>
  <si>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</si>
  <si>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</si>
  <si>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</si>
  <si>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</si>
  <si>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</si>
  <si>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</si>
  <si>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</si>
  <si>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</si>
  <si>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</si>
  <si>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</si>
  <si>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</si>
  <si>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</si>
  <si>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</si>
  <si>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</si>
  <si>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</si>
  <si>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</si>
  <si>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</si>
  <si>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</si>
  <si>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</si>
  <si>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</si>
  <si>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</si>
  <si>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</si>
  <si>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</si>
  <si>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</si>
  <si>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</si>
  <si>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</si>
  <si>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</si>
  <si>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</si>
  <si>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</si>
  <si>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</si>
  <si>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</si>
  <si>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</si>
  <si>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</si>
  <si>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</si>
  <si>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</si>
  <si>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</si>
  <si>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</si>
  <si>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</si>
  <si>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</si>
  <si>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</si>
  <si>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</si>
  <si>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</si>
  <si>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</si>
  <si>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</si>
  <si>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</si>
  <si>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</si>
  <si>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</si>
  <si>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</si>
  <si>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</si>
  <si>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</si>
  <si>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</si>
  <si>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</si>
  <si>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</si>
  <si>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</si>
  <si>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</si>
  <si>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</si>
  <si>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</si>
  <si>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</si>
  <si>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</si>
  <si>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</si>
  <si>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</si>
  <si>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</si>
  <si>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</si>
  <si>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</si>
  <si>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</si>
  <si>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</si>
  <si>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</si>
  <si>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</si>
  <si>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</si>
  <si>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</si>
  <si>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</si>
  <si>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</si>
  <si>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</si>
  <si>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</si>
  <si>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</si>
  <si>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</si>
  <si>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</si>
  <si>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</si>
  <si>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</si>
  <si>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</si>
  <si>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</si>
  <si>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</si>
  <si>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</si>
  <si>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</si>
  <si>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</si>
  <si>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</si>
  <si>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</si>
  <si>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</si>
  <si>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</si>
  <si>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</si>
  <si>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</si>
  <si>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</si>
  <si>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</si>
  <si>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</si>
  <si>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</si>
  <si>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</si>
  <si>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</si>
  <si>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</si>
  <si>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</si>
  <si>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</si>
  <si>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</si>
  <si>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</si>
  <si>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</si>
  <si>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</si>
  <si>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</si>
  <si>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</si>
  <si>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</si>
  <si>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</si>
  <si>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</si>
  <si>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</si>
  <si>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</si>
  <si>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</si>
  <si>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</si>
  <si>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</si>
  <si>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</si>
  <si>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</si>
  <si>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</si>
  <si>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</si>
  <si>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</si>
  <si>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</si>
  <si>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</si>
  <si>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</si>
  <si>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</si>
  <si>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</si>
  <si>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</si>
  <si>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</si>
  <si>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</si>
  <si>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</si>
  <si>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</si>
  <si>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</si>
  <si>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</si>
  <si>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</si>
  <si>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</si>
  <si>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</si>
  <si>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</si>
  <si>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</si>
  <si>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</si>
  <si>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</si>
  <si>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</si>
  <si>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</si>
  <si>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</si>
  <si>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</si>
  <si>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</si>
  <si>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</si>
  <si>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</si>
  <si>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</si>
  <si>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</si>
  <si>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</si>
  <si>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</si>
  <si>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</si>
  <si>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</si>
  <si>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</si>
  <si>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</si>
  <si>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</si>
  <si>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</si>
  <si>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</si>
  <si>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</si>
  <si>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</si>
  <si>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</si>
  <si>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</si>
  <si>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</si>
  <si>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</si>
  <si>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</si>
  <si>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</si>
  <si>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</si>
  <si>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</si>
  <si>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</si>
  <si>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</si>
  <si>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</si>
  <si>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</si>
  <si>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</si>
  <si>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</si>
  <si>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</si>
  <si>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</si>
  <si>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</si>
  <si>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</si>
  <si>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</si>
  <si>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</si>
  <si>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</si>
  <si>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</si>
  <si>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</si>
  <si>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</si>
  <si>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</si>
  <si>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</si>
  <si>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</si>
  <si>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</si>
  <si>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</si>
  <si>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</si>
  <si>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</si>
  <si>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</si>
  <si>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</si>
  <si>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</si>
  <si>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</si>
  <si>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</si>
  <si>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</si>
  <si>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</si>
  <si>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</si>
  <si>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</si>
  <si>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</si>
  <si>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</si>
  <si>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</si>
  <si>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</si>
  <si>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</si>
  <si>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</si>
  <si>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</si>
  <si>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</si>
  <si>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</si>
  <si>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</si>
  <si>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</si>
  <si>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</si>
  <si>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</si>
  <si>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</si>
  <si>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</si>
  <si>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</si>
  <si>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</si>
  <si>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</si>
  <si>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</si>
  <si>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</si>
  <si>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</si>
  <si>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</si>
  <si>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</si>
  <si>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</si>
  <si>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</si>
  <si>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</si>
  <si>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</si>
  <si>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</si>
  <si>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</si>
  <si>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</si>
  <si>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</si>
  <si>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</si>
  <si>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</si>
  <si>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</si>
  <si>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</si>
  <si>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</si>
  <si>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</si>
  <si>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</si>
  <si>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</si>
  <si>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</si>
  <si>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</si>
  <si>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</si>
  <si>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</si>
  <si>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</si>
  <si>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</si>
  <si>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</si>
  <si>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</si>
  <si>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</si>
  <si>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</si>
  <si>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</si>
  <si>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</si>
  <si>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</si>
  <si>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</si>
  <si>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</si>
  <si>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</si>
  <si>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</si>
  <si>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</si>
  <si>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</si>
  <si>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</si>
  <si>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</si>
  <si>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</si>
  <si>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</si>
  <si>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</si>
  <si>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</si>
  <si>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</si>
  <si>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</si>
  <si>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</si>
  <si>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</si>
  <si>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</si>
  <si>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</si>
  <si>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</si>
  <si>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</si>
  <si>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</si>
  <si>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</si>
  <si>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</si>
  <si>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</si>
  <si>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</si>
  <si>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</si>
  <si>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</si>
  <si>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</si>
  <si>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</si>
  <si>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</si>
  <si>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</si>
  <si>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</si>
  <si>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</si>
  <si>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</si>
  <si>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</si>
  <si>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</si>
  <si>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</si>
  <si>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</si>
  <si>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</si>
  <si>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</si>
  <si>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</si>
  <si>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</si>
  <si>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</si>
  <si>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</si>
  <si>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</si>
  <si>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</si>
  <si>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</si>
  <si>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</si>
  <si>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</si>
  <si>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</si>
  <si>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</si>
  <si>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</si>
  <si>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</si>
  <si>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</si>
  <si>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</si>
  <si>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</si>
  <si>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</si>
  <si>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</si>
  <si>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</si>
  <si>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</si>
  <si>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</si>
  <si>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</si>
  <si>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</si>
  <si>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</si>
  <si>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</si>
  <si>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</si>
  <si>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</si>
  <si>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</si>
  <si>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</si>
  <si>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</si>
  <si>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</si>
  <si>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</si>
  <si>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</si>
  <si>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</si>
  <si>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</si>
  <si>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</si>
  <si>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</si>
  <si>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</si>
  <si>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</si>
  <si>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</si>
  <si>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</si>
  <si>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</si>
  <si>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</si>
  <si>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</si>
  <si>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</si>
  <si>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</si>
  <si>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</si>
  <si>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</si>
  <si>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</si>
  <si>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</si>
  <si>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</si>
  <si>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</si>
  <si>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</si>
  <si>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</si>
  <si>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</si>
  <si>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</si>
  <si>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</si>
  <si>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</si>
  <si>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</si>
  <si>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</si>
  <si>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</si>
  <si>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</si>
  <si>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</si>
  <si>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</si>
  <si>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</si>
  <si>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</si>
  <si>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</si>
  <si>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</si>
  <si>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</si>
  <si>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</si>
  <si>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</si>
  <si>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</si>
  <si>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</si>
  <si>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</si>
  <si>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</si>
  <si>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</si>
  <si>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</si>
  <si>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</si>
  <si>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</si>
  <si>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</si>
  <si>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</si>
  <si>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</si>
  <si>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</si>
  <si>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</si>
  <si>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</si>
  <si>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</si>
  <si>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</si>
  <si>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</si>
  <si>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</si>
  <si>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</si>
  <si>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</si>
  <si>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</si>
  <si>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</si>
  <si>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</si>
  <si>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</si>
  <si>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</si>
  <si>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</si>
  <si>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</si>
  <si>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</si>
  <si>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</si>
  <si>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</si>
  <si>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</si>
  <si>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</si>
  <si>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</si>
  <si>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</si>
  <si>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</si>
  <si>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</si>
  <si>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</si>
  <si>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</si>
  <si>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</si>
  <si>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</si>
  <si>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</si>
  <si>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</si>
  <si>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</si>
  <si>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</si>
  <si>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</si>
  <si>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</si>
  <si>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</si>
  <si>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</si>
  <si>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</si>
  <si>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</si>
  <si>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</si>
  <si>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</si>
  <si>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</si>
  <si>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</si>
  <si>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</si>
  <si>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</si>
  <si>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</si>
  <si>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</si>
  <si>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</si>
  <si>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</si>
  <si>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</si>
  <si>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</si>
  <si>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</si>
  <si>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</si>
  <si>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</si>
  <si>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</si>
  <si>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</si>
  <si>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</si>
  <si>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</si>
  <si>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</si>
  <si>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</si>
  <si>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</si>
  <si>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</si>
  <si>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</si>
  <si>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</si>
  <si>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</si>
  <si>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</si>
  <si>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</si>
  <si>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</si>
  <si>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</si>
  <si>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</si>
  <si>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</si>
  <si>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</si>
  <si>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</si>
  <si>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</si>
  <si>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</si>
  <si>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</si>
  <si>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</si>
  <si>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</si>
  <si>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</si>
  <si>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</si>
  <si>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</si>
  <si>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</si>
  <si>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</si>
  <si>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</si>
  <si>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</si>
  <si>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</si>
  <si>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</si>
  <si>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</si>
  <si>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</si>
  <si>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</si>
  <si>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</si>
  <si>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</si>
  <si>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</si>
  <si>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</si>
  <si>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</si>
  <si>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</si>
  <si>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</si>
  <si>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</si>
  <si>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</si>
  <si>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</si>
  <si>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</si>
  <si>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</si>
  <si>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</si>
  <si>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</si>
  <si>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</si>
  <si>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</si>
  <si>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</si>
  <si>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</si>
  <si>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</si>
  <si>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</si>
  <si>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</si>
  <si>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</si>
  <si>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</si>
  <si>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</si>
  <si>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</si>
  <si>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</si>
  <si>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</si>
  <si>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</si>
  <si>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</si>
  <si>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</si>
  <si>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</si>
  <si>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</si>
  <si>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</si>
  <si>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</si>
  <si>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</si>
  <si>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</si>
  <si>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</si>
  <si>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</si>
  <si>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</si>
  <si>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</si>
  <si>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</si>
  <si>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</si>
  <si>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</si>
  <si>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</si>
  <si>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</si>
  <si>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</si>
  <si>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</si>
  <si>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</si>
  <si>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</si>
  <si>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</si>
  <si>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</si>
  <si>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</si>
  <si>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</si>
  <si>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</si>
  <si>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</si>
  <si>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</si>
  <si>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</si>
  <si>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</si>
  <si>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</si>
  <si>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</si>
  <si>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</si>
  <si>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</si>
  <si>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</si>
  <si>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</si>
  <si>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</si>
  <si>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</si>
  <si>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</si>
  <si>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</si>
  <si>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</si>
  <si>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</si>
  <si>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</si>
  <si>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</si>
  <si>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</si>
  <si>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</si>
  <si>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</si>
  <si>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</si>
  <si>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</si>
  <si>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</si>
  <si>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</si>
  <si>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</si>
  <si>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</si>
  <si>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</si>
  <si>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</si>
  <si>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</si>
  <si>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</si>
  <si>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</si>
  <si>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</si>
  <si>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</si>
  <si>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</si>
  <si>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</si>
  <si>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</si>
  <si>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</si>
  <si>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</si>
  <si>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</si>
  <si>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</si>
  <si>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</si>
  <si>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</si>
  <si>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</si>
  <si>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</si>
  <si>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</si>
  <si>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</si>
  <si>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</si>
  <si>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</si>
  <si>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</si>
  <si>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</si>
  <si>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</si>
  <si>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</si>
  <si>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</si>
  <si>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</si>
  <si>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</si>
  <si>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</si>
  <si>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</si>
  <si>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</si>
  <si>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</si>
  <si>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</si>
  <si>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</si>
  <si>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</si>
  <si>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</si>
  <si>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</si>
  <si>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</si>
  <si>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</si>
  <si>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</si>
  <si>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</si>
  <si>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</si>
  <si>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</si>
  <si>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</si>
  <si>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</si>
  <si>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</si>
  <si>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</si>
  <si>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</si>
  <si>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</si>
  <si>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</si>
  <si>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</si>
  <si>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</si>
  <si>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</si>
  <si>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</si>
  <si>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</si>
  <si>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</si>
  <si>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</si>
  <si>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</si>
  <si>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</si>
  <si>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</si>
  <si>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</si>
  <si>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</si>
  <si>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</si>
  <si>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</si>
  <si>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</si>
  <si>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</si>
  <si>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</si>
  <si>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</si>
  <si>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</si>
  <si>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</si>
  <si>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</si>
  <si>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</si>
  <si>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</si>
  <si>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</si>
  <si>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</si>
  <si>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</si>
  <si>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</si>
  <si>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</si>
  <si>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</si>
  <si>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</si>
  <si>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</si>
  <si>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</si>
  <si>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</si>
  <si>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</si>
  <si>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</si>
  <si>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</si>
  <si>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</si>
  <si>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</si>
  <si>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</si>
  <si>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</si>
  <si>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</si>
  <si>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</si>
  <si>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</si>
  <si>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</si>
  <si>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</si>
  <si>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</si>
  <si>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</si>
  <si>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</si>
  <si>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</si>
  <si>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</si>
  <si>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</si>
  <si>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</si>
  <si>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</si>
  <si>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</si>
  <si>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</si>
  <si>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</si>
  <si>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</si>
  <si>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</si>
  <si>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</si>
  <si>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</si>
  <si>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</si>
  <si>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</si>
  <si>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</si>
  <si>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</si>
  <si>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</si>
  <si>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</si>
  <si>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</si>
  <si>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</si>
  <si>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</si>
  <si>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</si>
  <si>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</si>
  <si>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</si>
  <si>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</si>
  <si>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</si>
  <si>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</si>
  <si>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</si>
  <si>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</si>
  <si>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</si>
  <si>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</si>
  <si>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</si>
  <si>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</si>
  <si>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</si>
  <si>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</si>
  <si>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</si>
  <si>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</si>
  <si>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</si>
  <si>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</si>
  <si>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</si>
  <si>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</si>
  <si>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</si>
  <si>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</si>
  <si>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</si>
  <si>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</si>
  <si>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</si>
  <si>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</si>
  <si>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</si>
  <si>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</si>
  <si>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</si>
  <si>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</si>
  <si>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</si>
  <si>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</si>
  <si>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</si>
  <si>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</si>
  <si>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</si>
  <si>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</si>
  <si>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</si>
  <si>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</si>
  <si>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</si>
  <si>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</si>
  <si>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</si>
  <si>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</si>
  <si>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</si>
  <si>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</si>
  <si>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</si>
  <si>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</si>
  <si>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</si>
  <si>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</si>
  <si>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</si>
  <si>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</si>
  <si>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</si>
  <si>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</si>
  <si>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</si>
  <si>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</si>
  <si>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</si>
  <si>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</si>
  <si>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</si>
  <si>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</si>
  <si>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</si>
  <si>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</si>
  <si>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</si>
  <si>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</si>
  <si>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</si>
  <si>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</si>
  <si>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</si>
  <si>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</si>
  <si>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</si>
  <si>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</si>
  <si>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</si>
  <si>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</si>
  <si>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</si>
  <si>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</si>
  <si>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</si>
  <si>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</si>
  <si>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</si>
  <si>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</si>
  <si>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</si>
  <si>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</si>
  <si>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</si>
  <si>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</si>
  <si>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</si>
  <si>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</si>
  <si>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</si>
  <si>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</si>
  <si>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</si>
  <si>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</si>
  <si>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</si>
  <si>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</si>
  <si>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</si>
  <si>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</si>
  <si>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</si>
  <si>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</si>
  <si>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</si>
  <si>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</si>
  <si>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</si>
  <si>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</si>
  <si>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</si>
  <si>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</si>
  <si>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</si>
  <si>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</si>
  <si>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</si>
  <si>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</si>
  <si>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</si>
  <si>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</si>
  <si>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</si>
  <si>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</si>
  <si>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</si>
  <si>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</si>
  <si>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</si>
  <si>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</si>
  <si>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</si>
  <si>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</si>
  <si>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</si>
  <si>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</si>
  <si>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</si>
  <si>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</si>
  <si>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</si>
  <si>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</si>
  <si>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</si>
  <si>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</si>
  <si>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</si>
  <si>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</si>
  <si>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</si>
  <si>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</si>
  <si>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</si>
  <si>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</si>
  <si>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</si>
  <si>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</si>
  <si>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</si>
  <si>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</si>
  <si>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</si>
  <si>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</si>
  <si>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</si>
  <si>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</si>
  <si>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</si>
  <si>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</si>
  <si>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</si>
  <si>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</si>
  <si>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</si>
  <si>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</si>
  <si>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</si>
  <si>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</si>
  <si>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</si>
  <si>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</si>
  <si>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</si>
  <si>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</si>
  <si>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</si>
  <si>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</si>
  <si>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</si>
  <si>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</si>
  <si>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</si>
  <si>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</si>
  <si>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</si>
  <si>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</si>
  <si>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</si>
  <si>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</si>
  <si>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</si>
  <si>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</si>
  <si>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</si>
  <si>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</si>
  <si>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</si>
  <si>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</si>
  <si>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</si>
  <si>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</si>
  <si>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</si>
  <si>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</si>
  <si>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</si>
  <si>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</si>
  <si>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</si>
  <si>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</si>
  <si>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</si>
  <si>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</si>
  <si>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</si>
  <si>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</si>
  <si>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</si>
  <si>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</si>
  <si>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</si>
  <si>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</si>
  <si>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</si>
  <si>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</si>
  <si>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</si>
  <si>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</si>
  <si>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</si>
  <si>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</si>
  <si>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</si>
  <si>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</si>
  <si>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</si>
  <si>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</si>
  <si>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</si>
  <si>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</si>
  <si>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</si>
  <si>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</si>
  <si>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</si>
  <si>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</si>
  <si>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</si>
  <si>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</si>
  <si>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</si>
  <si>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</si>
  <si>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</si>
  <si>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</si>
  <si>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</si>
  <si>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</si>
  <si>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</si>
  <si>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</si>
  <si>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</si>
  <si>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</si>
  <si>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</si>
  <si>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</si>
  <si>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</si>
  <si>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</si>
  <si>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</si>
  <si>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</si>
  <si>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</si>
  <si>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</si>
  <si>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</si>
  <si>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</si>
  <si>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</si>
  <si>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</si>
  <si>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</si>
  <si>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</si>
  <si>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</si>
  <si>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</si>
  <si>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</si>
  <si>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</si>
  <si>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</si>
  <si>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</si>
  <si>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</si>
  <si>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</si>
  <si>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</si>
  <si>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</si>
  <si>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</si>
  <si>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</si>
  <si>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</si>
  <si>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</si>
  <si>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</si>
  <si>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</si>
  <si>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</si>
  <si>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</si>
  <si>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</si>
  <si>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</si>
  <si>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</si>
  <si>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</si>
  <si>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</si>
  <si>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</si>
  <si>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</si>
  <si>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</si>
  <si>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</si>
  <si>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</si>
  <si>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</si>
  <si>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</si>
  <si>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</si>
  <si>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</si>
  <si>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</si>
  <si>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</si>
  <si>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</si>
  <si>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</si>
  <si>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</si>
  <si>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</si>
  <si>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</si>
  <si>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</si>
  <si>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</si>
  <si>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</si>
  <si>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</si>
  <si>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</si>
  <si>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</si>
  <si>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</si>
  <si>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</si>
  <si>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</si>
  <si>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</si>
  <si>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</si>
  <si>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</si>
  <si>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</si>
  <si>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</si>
  <si>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</si>
  <si>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</si>
  <si>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</si>
  <si>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</si>
  <si>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</si>
  <si>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</si>
  <si>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</si>
  <si>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</si>
  <si>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</si>
  <si>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</si>
  <si>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</si>
  <si>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</si>
  <si>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</si>
  <si>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</si>
  <si>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</si>
  <si>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</si>
  <si>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</si>
  <si>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</si>
  <si>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</si>
  <si>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</si>
  <si>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</si>
  <si>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</si>
  <si>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</si>
  <si>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</si>
  <si>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</si>
  <si>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</si>
  <si>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</si>
  <si>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</si>
  <si>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</si>
  <si>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</si>
  <si>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</si>
  <si>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</si>
  <si>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</si>
  <si>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</si>
  <si>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</si>
  <si>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</si>
  <si>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</si>
  <si>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</si>
  <si>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</si>
  <si>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</si>
  <si>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</si>
  <si>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</si>
  <si>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</si>
  <si>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</si>
  <si>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</si>
  <si>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</si>
  <si>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</si>
  <si>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</si>
  <si>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</si>
  <si>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</si>
  <si>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</si>
  <si>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</si>
  <si>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</si>
  <si>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</si>
  <si>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</si>
  <si>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</si>
  <si>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</si>
  <si>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</si>
  <si>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</si>
  <si>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</si>
  <si>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</si>
  <si>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</si>
  <si>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</si>
  <si>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</si>
  <si>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</si>
  <si>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</si>
  <si>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</si>
  <si>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</si>
  <si>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</si>
  <si>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</si>
  <si>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</si>
  <si>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</si>
  <si>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</si>
  <si>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</si>
  <si>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</si>
  <si>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</si>
  <si>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</si>
  <si>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</si>
  <si>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</si>
  <si>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</si>
  <si>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</si>
  <si>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</si>
  <si>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</si>
  <si>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</si>
  <si>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</si>
  <si>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</si>
  <si>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</si>
  <si>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</si>
  <si>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</si>
  <si>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</si>
  <si>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</si>
  <si>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</si>
  <si>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</si>
  <si>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</si>
  <si>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</si>
  <si>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</si>
  <si>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</si>
  <si>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</si>
  <si>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</si>
  <si>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</si>
  <si>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</si>
  <si>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</si>
  <si>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</si>
  <si>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</si>
  <si>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</si>
  <si>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</si>
  <si>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</si>
  <si>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</si>
  <si>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</si>
  <si>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</si>
  <si>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</si>
  <si>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</si>
  <si>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</si>
  <si>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</si>
  <si>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</si>
  <si>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</si>
  <si>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</si>
  <si>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</si>
  <si>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</si>
  <si>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</si>
  <si>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</si>
  <si>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</si>
  <si>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</si>
  <si>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</si>
  <si>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</si>
  <si>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</si>
  <si>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</si>
  <si>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</si>
  <si>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</si>
  <si>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</si>
  <si>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</si>
  <si>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</si>
  <si>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</si>
  <si>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</si>
  <si>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</si>
  <si>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</si>
  <si>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</si>
  <si>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</si>
  <si>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</si>
  <si>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</si>
  <si>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</si>
  <si>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</si>
  <si>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</si>
  <si>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</si>
  <si>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</si>
  <si>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</si>
  <si>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</si>
  <si>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</si>
  <si>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</si>
  <si>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</si>
  <si>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</si>
  <si>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</si>
  <si>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</si>
  <si>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</si>
  <si>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</si>
  <si>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</si>
  <si>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</si>
  <si>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</si>
  <si>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</si>
  <si>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</si>
  <si>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</si>
  <si>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</si>
  <si>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</si>
  <si>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</si>
  <si>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</si>
  <si>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</si>
  <si>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</si>
  <si>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</si>
  <si>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</si>
  <si>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</si>
  <si>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</si>
  <si>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</si>
  <si>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</si>
  <si>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</si>
  <si>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</si>
  <si>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</si>
  <si>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</si>
  <si>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</si>
  <si>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</si>
  <si>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</si>
  <si>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</si>
  <si>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</si>
  <si>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</si>
  <si>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</si>
  <si>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</si>
  <si>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</si>
  <si>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</si>
  <si>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</si>
  <si>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</si>
  <si>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</si>
  <si>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</si>
  <si>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</si>
  <si>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</si>
  <si>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</si>
  <si>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</si>
  <si>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</si>
  <si>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</si>
  <si>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</si>
  <si>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</si>
  <si>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</si>
  <si>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</si>
  <si>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</si>
  <si>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</si>
  <si>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</si>
  <si>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</si>
  <si>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</si>
  <si>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</si>
  <si>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</si>
  <si>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</si>
  <si>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</si>
  <si>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</si>
  <si>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</si>
  <si>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</si>
  <si>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</si>
  <si>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</si>
  <si>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</si>
  <si>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</si>
  <si>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</si>
  <si>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</si>
  <si>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</si>
  <si>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</si>
  <si>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</si>
  <si>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</si>
  <si>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</si>
  <si>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</si>
  <si>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</si>
  <si>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</si>
  <si>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</si>
  <si>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</si>
  <si>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</si>
  <si>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</si>
  <si>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</si>
  <si>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</si>
  <si>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</si>
  <si>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</si>
  <si>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</si>
  <si>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</si>
  <si>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</si>
  <si>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</si>
  <si>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</si>
  <si>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</si>
  <si>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</si>
  <si>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</si>
  <si>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</si>
  <si>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</si>
  <si>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</si>
  <si>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</si>
  <si>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</si>
  <si>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</si>
  <si>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</si>
  <si>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</si>
  <si>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</si>
  <si>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</si>
  <si>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</si>
  <si>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</si>
  <si>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</si>
  <si>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</si>
  <si>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</si>
  <si>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</si>
  <si>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</si>
  <si>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</si>
  <si>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</si>
  <si>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</si>
  <si>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</si>
  <si>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</si>
  <si>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</si>
  <si>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</si>
  <si>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</si>
  <si>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</si>
  <si>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</si>
  <si>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</si>
  <si>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</si>
  <si>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</si>
  <si>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</si>
  <si>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</si>
  <si>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</si>
  <si>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</si>
  <si>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</si>
  <si>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</si>
  <si>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</si>
  <si>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</si>
  <si>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</si>
  <si>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</si>
  <si>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</si>
  <si>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</si>
  <si>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</si>
  <si>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</si>
  <si>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</si>
  <si>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</si>
  <si>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</si>
  <si>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</si>
  <si>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</si>
  <si>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</si>
  <si>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</si>
  <si>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</si>
  <si>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</si>
  <si>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</si>
  <si>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</si>
  <si>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</si>
  <si>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</si>
  <si>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</si>
  <si>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</si>
  <si>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</si>
  <si>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</si>
  <si>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</si>
  <si>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</si>
  <si>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</si>
  <si>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</si>
  <si>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</si>
  <si>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</si>
  <si>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</si>
  <si>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</si>
  <si>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</si>
  <si>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</si>
  <si>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</si>
  <si>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</si>
  <si>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</si>
  <si>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</si>
  <si>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</si>
  <si>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</si>
  <si>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</si>
  <si>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</si>
  <si>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</si>
  <si>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</si>
  <si>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</si>
  <si>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</si>
  <si>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</si>
  <si>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</si>
  <si>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</si>
  <si>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</si>
  <si>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</si>
  <si>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</si>
  <si>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</si>
  <si>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</si>
  <si>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</si>
  <si>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</si>
  <si>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</si>
  <si>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</si>
  <si>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</si>
  <si>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</si>
  <si>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</si>
  <si>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</si>
  <si>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</si>
  <si>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</si>
  <si>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</si>
  <si>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</si>
  <si>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</si>
  <si>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</si>
  <si>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</si>
  <si>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</si>
  <si>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</si>
  <si>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</si>
  <si>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</si>
  <si>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</si>
  <si>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</si>
  <si>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</si>
  <si>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</si>
  <si>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</si>
  <si>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</si>
  <si>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</si>
  <si>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</si>
  <si>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</si>
  <si>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</si>
  <si>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</si>
  <si>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</si>
  <si>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</si>
  <si>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</si>
  <si>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</si>
  <si>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</si>
  <si>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</si>
  <si>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</si>
  <si>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</si>
  <si>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</si>
  <si>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</si>
  <si>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</si>
  <si>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</si>
  <si>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</si>
  <si>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</si>
  <si>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</si>
  <si>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</si>
  <si>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</si>
  <si>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</si>
  <si>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</si>
  <si>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</si>
  <si>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</si>
  <si>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</si>
  <si>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</si>
  <si>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</si>
  <si>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</si>
  <si>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</si>
  <si>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</si>
  <si>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</si>
  <si>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</si>
  <si>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</si>
  <si>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</si>
  <si>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</si>
  <si>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</si>
  <si>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</si>
  <si>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</si>
  <si>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</si>
  <si>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</si>
  <si>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</si>
  <si>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</si>
  <si>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</si>
  <si>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</si>
  <si>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</si>
  <si>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</si>
  <si>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</si>
  <si>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</si>
  <si>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</si>
  <si>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</si>
  <si>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</si>
  <si>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</si>
  <si>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</si>
  <si>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</si>
  <si>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</si>
  <si>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</si>
  <si>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</si>
  <si>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</si>
  <si>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</si>
  <si>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</si>
  <si>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</si>
  <si>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</si>
  <si>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</si>
  <si>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</si>
  <si>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</si>
  <si>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</si>
  <si>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</si>
  <si>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</si>
  <si>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</si>
  <si>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</si>
  <si>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</si>
  <si>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</si>
  <si>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</si>
  <si>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</si>
  <si>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</si>
  <si>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</si>
  <si>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</si>
  <si>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</si>
  <si>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</si>
  <si>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</si>
  <si>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</si>
  <si>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</si>
  <si>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</si>
  <si>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</si>
  <si>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</si>
  <si>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</si>
  <si>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</si>
  <si>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</si>
  <si>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</si>
  <si>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</si>
  <si>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</si>
  <si>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</si>
  <si>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</si>
  <si>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</si>
  <si>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</si>
  <si>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</si>
  <si>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</si>
  <si>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</si>
  <si>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</si>
  <si>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</si>
  <si>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</si>
  <si>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</si>
  <si>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</si>
  <si>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</si>
  <si>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</si>
  <si>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</si>
  <si>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</si>
  <si>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</si>
  <si>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</si>
  <si>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</si>
  <si>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</si>
  <si>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</si>
  <si>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</si>
  <si>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</si>
  <si>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</si>
  <si>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</si>
  <si>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</si>
  <si>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</si>
  <si>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</si>
  <si>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</si>
  <si>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</si>
  <si>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</si>
  <si>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</si>
  <si>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</si>
  <si>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</si>
  <si>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</si>
  <si>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</si>
  <si>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</si>
  <si>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</si>
  <si>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</si>
  <si>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</si>
  <si>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</si>
  <si>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</si>
  <si>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</si>
  <si>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</si>
  <si>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</si>
  <si>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</si>
  <si>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</si>
  <si>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</si>
  <si>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</si>
  <si>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</si>
  <si>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</si>
  <si>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</si>
  <si>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</si>
  <si>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</si>
  <si>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</si>
  <si>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</si>
  <si>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</si>
  <si>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</si>
  <si>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</si>
  <si>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</si>
  <si>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</si>
  <si>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</si>
  <si>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</si>
  <si>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</si>
  <si>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</si>
  <si>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</si>
  <si>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</si>
  <si>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</si>
  <si>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</si>
  <si>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</si>
  <si>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</si>
  <si>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</si>
  <si>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</si>
  <si>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</si>
  <si>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</si>
  <si>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</si>
  <si>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</si>
  <si>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</si>
  <si>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</si>
  <si>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</si>
  <si>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</si>
  <si>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</si>
  <si>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</si>
  <si>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</si>
  <si>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</si>
  <si>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</si>
  <si>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</si>
  <si>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</si>
  <si>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</si>
  <si>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</si>
  <si>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</si>
  <si>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</si>
  <si>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</si>
  <si>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</si>
  <si>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</si>
  <si>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</si>
  <si>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</si>
  <si>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</si>
  <si>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</si>
  <si>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</si>
  <si>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</si>
  <si>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</si>
  <si>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</si>
  <si>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</si>
  <si>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</si>
  <si>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</si>
  <si>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</si>
  <si>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</si>
  <si>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</si>
  <si>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</si>
  <si>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</si>
  <si>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</si>
  <si>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</si>
  <si>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</si>
  <si>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</si>
  <si>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</si>
  <si>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</si>
  <si>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</si>
  <si>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</si>
  <si>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</si>
  <si>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</si>
  <si>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</si>
  <si>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</si>
  <si>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</si>
  <si>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</si>
  <si>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</si>
  <si>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</si>
  <si>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</si>
  <si>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</si>
  <si>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</si>
  <si>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</si>
  <si>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</si>
  <si>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</si>
  <si>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</si>
  <si>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</si>
  <si>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</si>
  <si>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</si>
  <si>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</si>
  <si>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</si>
  <si>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</si>
  <si>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</si>
  <si>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</si>
  <si>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</si>
  <si>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</si>
  <si>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</si>
  <si>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</si>
  <si>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</si>
  <si>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</si>
  <si>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</si>
  <si>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</si>
  <si>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</si>
  <si>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</si>
  <si>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</si>
  <si>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</si>
  <si>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</si>
  <si>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</si>
  <si>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</si>
  <si>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</si>
  <si>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</si>
  <si>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</si>
  <si>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</si>
  <si>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</si>
  <si>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</si>
  <si>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</si>
  <si>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</si>
  <si>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</si>
  <si>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</si>
  <si>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</si>
  <si>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</si>
  <si>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</si>
  <si>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</si>
  <si>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</si>
  <si>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</si>
  <si>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</si>
  <si>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</si>
  <si>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</si>
  <si>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</si>
  <si>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</si>
  <si>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</si>
  <si>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</si>
  <si>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</si>
  <si>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</si>
  <si>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</si>
  <si>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</si>
  <si>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</si>
  <si>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</si>
  <si>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</si>
  <si>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</si>
  <si>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</si>
  <si>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</si>
  <si>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</si>
  <si>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</si>
  <si>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</si>
  <si>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</si>
  <si>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</si>
  <si>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</si>
  <si>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</si>
  <si>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</si>
  <si>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</si>
  <si>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</si>
  <si>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</si>
  <si>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</si>
  <si>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</si>
  <si>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</si>
  <si>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</si>
  <si>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</si>
  <si>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</si>
  <si>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</si>
  <si>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</si>
  <si>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</si>
  <si>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</si>
  <si>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</si>
  <si>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</si>
  <si>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</si>
  <si>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</si>
  <si>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</si>
  <si>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</si>
  <si>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</si>
  <si>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</si>
  <si>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</si>
  <si>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</si>
  <si>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</si>
  <si>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</si>
  <si>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</si>
  <si>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</si>
  <si>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</si>
  <si>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</si>
  <si>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</si>
  <si>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</si>
  <si>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</si>
  <si>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</si>
  <si>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</si>
  <si>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</si>
  <si>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</si>
  <si>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</si>
  <si>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</si>
  <si>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</si>
  <si>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</si>
  <si>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</si>
  <si>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</si>
  <si>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</si>
  <si>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</si>
  <si>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</si>
  <si>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</si>
  <si>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</si>
  <si>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</si>
  <si>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</si>
  <si>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</si>
  <si>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</si>
  <si>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</si>
  <si>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</si>
  <si>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</si>
  <si>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</si>
  <si>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</si>
  <si>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</si>
  <si>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</si>
  <si>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</si>
  <si>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</si>
  <si>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</si>
  <si>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</si>
  <si>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</si>
  <si>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</si>
  <si>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</si>
  <si>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</si>
  <si>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</si>
  <si>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</si>
  <si>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</si>
  <si>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</si>
  <si>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</si>
  <si>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</si>
  <si>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</si>
  <si>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</si>
  <si>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</si>
  <si>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</si>
  <si>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</si>
  <si>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</si>
  <si>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</si>
  <si>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</si>
  <si>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</si>
  <si>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</si>
  <si>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</si>
  <si>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</si>
  <si>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</si>
  <si>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</si>
  <si>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</si>
  <si>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</si>
  <si>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</si>
  <si>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</si>
  <si>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</si>
  <si>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</si>
  <si>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</si>
  <si>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</si>
  <si>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</si>
  <si>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</si>
  <si>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</si>
  <si>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</si>
  <si>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</si>
  <si>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</si>
  <si>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</si>
  <si>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</si>
  <si>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</si>
  <si>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</si>
  <si>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</si>
  <si>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</si>
  <si>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</si>
  <si>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</si>
  <si>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</si>
  <si>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</si>
  <si>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</si>
  <si>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</si>
  <si>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</si>
  <si>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</si>
  <si>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</si>
  <si>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</si>
  <si>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</si>
  <si>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</si>
  <si>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</si>
  <si>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</si>
  <si>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</si>
  <si>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</si>
  <si>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</si>
  <si>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</si>
  <si>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</si>
  <si>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</si>
  <si>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</si>
  <si>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</si>
  <si>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</si>
  <si>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</si>
  <si>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</si>
  <si>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</si>
  <si>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</si>
  <si>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</si>
  <si>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</si>
  <si>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</si>
  <si>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</si>
  <si>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</si>
  <si>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</si>
  <si>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</si>
  <si>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</si>
  <si>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</si>
  <si>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</si>
  <si>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</si>
  <si>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</si>
  <si>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</si>
  <si>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</si>
  <si>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</si>
  <si>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</si>
  <si>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</si>
  <si>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</si>
  <si>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</si>
  <si>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</si>
  <si>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</si>
  <si>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</si>
  <si>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</si>
  <si>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</si>
  <si>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</si>
  <si>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</si>
  <si>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</si>
  <si>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</si>
  <si>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</si>
  <si>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</si>
  <si>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</si>
  <si>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</si>
  <si>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</si>
  <si>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</si>
  <si>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</si>
  <si>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</si>
  <si>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</si>
  <si>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</si>
  <si>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</si>
  <si>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</si>
  <si>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</si>
  <si>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</si>
  <si>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</si>
  <si>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</si>
  <si>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</si>
  <si>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</si>
  <si>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</si>
  <si>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</si>
  <si>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</si>
  <si>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</si>
  <si>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</si>
  <si>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</si>
  <si>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</si>
  <si>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</si>
  <si>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</si>
  <si>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</si>
  <si>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</si>
  <si>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</si>
  <si>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</si>
  <si>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</si>
  <si>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</si>
  <si>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</si>
  <si>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</si>
  <si>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</si>
  <si>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</si>
  <si>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</si>
  <si>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</si>
  <si>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</si>
  <si>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</si>
  <si>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</si>
  <si>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</si>
  <si>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</si>
  <si>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</si>
  <si>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</si>
  <si>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</si>
  <si>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</si>
  <si>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</si>
  <si>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</si>
  <si>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</si>
  <si>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</si>
  <si>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</si>
  <si>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</si>
  <si>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</si>
  <si>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</si>
  <si>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</si>
  <si>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</si>
  <si>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</si>
  <si>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</si>
  <si>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</si>
  <si>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</si>
  <si>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</si>
  <si>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</si>
  <si>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</si>
  <si>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</si>
  <si>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</si>
  <si>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</si>
  <si>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</si>
  <si>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</si>
  <si>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</si>
  <si>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</si>
  <si>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</si>
  <si>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</si>
  <si>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</si>
  <si>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</si>
  <si>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</si>
  <si>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</si>
  <si>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</si>
  <si>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</si>
  <si>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</si>
  <si>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</si>
  <si>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</si>
  <si>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</si>
  <si>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</si>
  <si>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</si>
  <si>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</si>
  <si>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</si>
  <si>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</si>
  <si>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</si>
  <si>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</si>
  <si>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</si>
  <si>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</si>
  <si>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</si>
  <si>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</si>
  <si>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</si>
  <si>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</si>
  <si>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</si>
  <si>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</si>
  <si>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</si>
  <si>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</si>
  <si>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</si>
  <si>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</si>
  <si>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</si>
  <si>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</si>
  <si>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</si>
  <si>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</si>
  <si>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</si>
  <si>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</si>
  <si>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</si>
  <si>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</si>
  <si>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</si>
  <si>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</si>
  <si>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</si>
  <si>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</si>
  <si>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</si>
  <si>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</si>
  <si>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</si>
  <si>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</si>
  <si>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</si>
  <si>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</si>
  <si>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</si>
  <si>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</si>
  <si>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</si>
  <si>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</si>
  <si>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</si>
  <si>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</si>
  <si>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</si>
  <si>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</si>
  <si>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</si>
  <si>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</si>
  <si>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</si>
  <si>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</si>
  <si>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</si>
  <si>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</si>
  <si>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</si>
  <si>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</si>
  <si>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</si>
  <si>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</si>
  <si>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</si>
  <si>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</si>
  <si>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</si>
  <si>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</si>
  <si>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</si>
  <si>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</si>
  <si>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</si>
  <si>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</si>
  <si>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</si>
  <si>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</si>
  <si>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</si>
  <si>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</si>
  <si>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</si>
  <si>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</si>
  <si>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</si>
  <si>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</si>
  <si>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</si>
  <si>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</si>
  <si>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</si>
  <si>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</si>
  <si>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</si>
  <si>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</si>
  <si>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</si>
  <si>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</si>
  <si>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</si>
  <si>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</si>
  <si>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</si>
  <si>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</si>
  <si>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</si>
  <si>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</si>
  <si>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</si>
  <si>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</si>
  <si>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</si>
  <si>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</si>
  <si>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</si>
  <si>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</si>
  <si>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</si>
  <si>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</si>
  <si>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</si>
  <si>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</si>
  <si>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</si>
  <si>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</si>
  <si>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</si>
  <si>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</si>
  <si>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</si>
  <si>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</si>
  <si>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</si>
  <si>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</si>
  <si>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</si>
  <si>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</si>
  <si>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</si>
  <si>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</si>
  <si>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</si>
  <si>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</si>
  <si>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</si>
  <si>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</si>
  <si>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</si>
  <si>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</si>
  <si>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</si>
  <si>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</si>
  <si>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</si>
  <si>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</si>
  <si>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</si>
  <si>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</si>
  <si>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</si>
  <si>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</si>
  <si>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</si>
  <si>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</si>
  <si>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</si>
  <si>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</si>
  <si>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</si>
  <si>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</si>
  <si>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</si>
  <si>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</si>
  <si>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</si>
  <si>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</si>
  <si>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</si>
  <si>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</si>
  <si>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</si>
  <si>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</si>
  <si>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</si>
  <si>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</si>
  <si>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</si>
  <si>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</si>
  <si>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</si>
  <si>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</si>
  <si>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</si>
  <si>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</si>
  <si>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</si>
  <si>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</si>
  <si>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</si>
  <si>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</si>
  <si>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</si>
  <si>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</si>
  <si>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</si>
  <si>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</si>
  <si>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</si>
  <si>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</si>
  <si>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</si>
  <si>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</si>
  <si>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</si>
  <si>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</si>
  <si>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</si>
  <si>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</si>
  <si>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</si>
  <si>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</si>
  <si>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</si>
  <si>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</si>
  <si>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</si>
  <si>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</si>
  <si>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</si>
  <si>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</si>
  <si>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</si>
  <si>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</si>
  <si>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</si>
  <si>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</si>
  <si>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</si>
  <si>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</si>
  <si>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</si>
  <si>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</si>
  <si>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</si>
  <si>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</si>
  <si>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</si>
  <si>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</si>
  <si>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</si>
  <si>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</si>
  <si>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</si>
  <si>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</si>
  <si>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</si>
  <si>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</si>
  <si>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</si>
  <si>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</si>
  <si>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</si>
  <si>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</si>
  <si>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</si>
  <si>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</si>
  <si>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</si>
  <si>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</si>
  <si>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</si>
  <si>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</si>
  <si>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</si>
  <si>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</si>
  <si>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</si>
  <si>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</si>
  <si>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</si>
  <si>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</si>
  <si>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</si>
  <si>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</si>
  <si>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</si>
  <si>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</si>
  <si>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</si>
  <si>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</si>
  <si>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</si>
  <si>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</si>
  <si>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</si>
  <si>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</si>
  <si>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</si>
  <si>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</si>
  <si>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</si>
  <si>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</si>
  <si>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</si>
  <si>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</si>
  <si>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</si>
  <si>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</si>
  <si>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</si>
  <si>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</si>
  <si>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</si>
  <si>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</si>
  <si>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</si>
  <si>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</si>
  <si>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</si>
  <si>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</si>
  <si>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</si>
  <si>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</si>
  <si>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</si>
  <si>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</si>
  <si>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</si>
  <si>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</si>
  <si>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</si>
  <si>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</si>
  <si>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</si>
  <si>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</si>
  <si>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</si>
  <si>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</si>
  <si>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</si>
  <si>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</si>
  <si>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</si>
  <si>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</si>
  <si>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</si>
  <si>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</si>
  <si>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</si>
  <si>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</si>
  <si>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</si>
  <si>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</si>
  <si>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</si>
  <si>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</si>
  <si>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</si>
  <si>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</si>
  <si>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</si>
  <si>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</si>
  <si>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</si>
  <si>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</si>
  <si>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</si>
  <si>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</si>
  <si>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</si>
  <si>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</si>
  <si>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</si>
  <si>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</si>
  <si>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</si>
  <si>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</si>
  <si>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</si>
  <si>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</si>
  <si>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</si>
  <si>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</si>
  <si>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</si>
  <si>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</si>
  <si>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</si>
  <si>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</si>
  <si>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</si>
  <si>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</si>
  <si>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</si>
  <si>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</si>
  <si>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</si>
  <si>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</si>
  <si>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</si>
  <si>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</si>
  <si>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</si>
  <si>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</si>
  <si>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</si>
  <si>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</si>
  <si>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</si>
  <si>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</si>
  <si>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</si>
  <si>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</si>
  <si>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</si>
  <si>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</si>
  <si>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</si>
  <si>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</si>
  <si>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</si>
  <si>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</si>
  <si>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</si>
  <si>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</si>
  <si>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</si>
  <si>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</si>
  <si>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</si>
  <si>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</si>
  <si>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</si>
  <si>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</si>
  <si>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</si>
  <si>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</si>
  <si>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</si>
  <si>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</si>
  <si>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</si>
  <si>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</si>
  <si>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</si>
  <si>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</si>
  <si>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</si>
  <si>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</si>
  <si>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</si>
  <si>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</si>
  <si>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</si>
  <si>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</si>
  <si>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</si>
  <si>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</si>
  <si>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</si>
  <si>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</si>
  <si>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</si>
  <si>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</si>
  <si>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</si>
  <si>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</si>
  <si>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</si>
  <si>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</si>
  <si>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</si>
  <si>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</si>
  <si>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</si>
  <si>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</si>
  <si>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</si>
  <si>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</si>
  <si>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</si>
  <si>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</si>
  <si>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</si>
  <si>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</si>
  <si>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</si>
  <si>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</si>
  <si>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</si>
  <si>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</si>
  <si>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</si>
  <si>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</si>
  <si>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</si>
  <si>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</si>
  <si>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</si>
  <si>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</si>
  <si>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</si>
  <si>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</si>
  <si>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</si>
  <si>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</si>
  <si>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</si>
  <si>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</si>
  <si>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</si>
  <si>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</si>
  <si>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</si>
  <si>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</si>
  <si>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</si>
  <si>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</si>
  <si>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</si>
  <si>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</si>
  <si>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</si>
  <si>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</si>
  <si>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</si>
  <si>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</si>
  <si>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</si>
  <si>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</si>
  <si>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</si>
  <si>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</si>
  <si>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</si>
  <si>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</si>
  <si>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</si>
  <si>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</si>
  <si>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</si>
  <si>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</si>
  <si>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</si>
  <si>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</si>
  <si>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</si>
  <si>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</si>
  <si>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</si>
  <si>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</si>
  <si>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</si>
  <si>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</si>
  <si>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</si>
  <si>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</si>
  <si>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</si>
  <si>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</si>
  <si>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</si>
  <si>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</si>
  <si>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</si>
  <si>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</si>
  <si>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</si>
  <si>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</si>
  <si>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</si>
  <si>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</si>
  <si>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</si>
  <si>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</si>
  <si>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</si>
  <si>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</si>
  <si>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</si>
  <si>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</si>
  <si>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</si>
  <si>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</si>
  <si>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</si>
  <si>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</si>
  <si>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</si>
  <si>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</si>
  <si>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</si>
  <si>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</si>
  <si>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</si>
  <si>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</si>
  <si>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</si>
  <si>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</si>
  <si>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</si>
  <si>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</si>
  <si>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</si>
  <si>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</si>
  <si>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</si>
  <si>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</si>
  <si>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</si>
  <si>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</si>
  <si>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</si>
  <si>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</si>
  <si>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</si>
  <si>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</si>
  <si>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</si>
  <si>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</si>
  <si>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</si>
  <si>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</si>
  <si>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</si>
  <si>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</si>
  <si>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</si>
  <si>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</si>
  <si>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</si>
  <si>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</si>
  <si>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</si>
  <si>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</si>
  <si>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</si>
  <si>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</si>
  <si>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</si>
  <si>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</si>
  <si>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</si>
  <si>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</si>
  <si>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</si>
  <si>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</si>
  <si>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</si>
  <si>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</si>
  <si>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</si>
  <si>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</si>
  <si>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</si>
  <si>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</si>
  <si>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</si>
  <si>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</si>
  <si>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</si>
  <si>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</si>
  <si>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</si>
  <si>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</si>
  <si>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</si>
  <si>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</si>
  <si>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</si>
  <si>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</si>
  <si>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</si>
  <si>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</si>
  <si>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</si>
  <si>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</si>
  <si>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</si>
  <si>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</si>
  <si>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</si>
  <si>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</si>
  <si>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</si>
  <si>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</si>
  <si>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</si>
  <si>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</si>
  <si>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</si>
  <si>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</si>
  <si>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</si>
  <si>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</si>
  <si>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</si>
  <si>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</si>
  <si>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</si>
  <si>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</si>
  <si>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</si>
  <si>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</si>
  <si>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</si>
  <si>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</si>
  <si>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</si>
  <si>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</si>
  <si>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</si>
  <si>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</si>
  <si>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</si>
  <si>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</si>
  <si>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</si>
  <si>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</si>
  <si>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</si>
  <si>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</si>
  <si>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</si>
  <si>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</si>
  <si>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</si>
  <si>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</si>
  <si>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</si>
  <si>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</si>
  <si>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</si>
  <si>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</si>
  <si>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</si>
  <si>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</si>
  <si>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</si>
  <si>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</si>
  <si>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</si>
  <si>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</si>
  <si>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</si>
  <si>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</si>
  <si>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</si>
  <si>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</si>
  <si>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</si>
  <si>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</si>
  <si>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</si>
  <si>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</si>
  <si>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</si>
  <si>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</si>
  <si>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</si>
  <si>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</si>
  <si>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</si>
  <si>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</si>
  <si>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</si>
  <si>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</si>
  <si>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</si>
  <si>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</si>
  <si>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</si>
  <si>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</si>
  <si>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</si>
  <si>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</si>
  <si>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</si>
  <si>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</si>
  <si>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</si>
  <si>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</si>
  <si>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</si>
  <si>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</si>
  <si>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</si>
  <si>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</si>
  <si>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</si>
  <si>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</si>
  <si>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</si>
  <si>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</si>
  <si>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</si>
  <si>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</si>
  <si>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</si>
  <si>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</si>
  <si>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</si>
  <si>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</si>
  <si>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</si>
  <si>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</si>
  <si>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</si>
  <si>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</si>
  <si>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</si>
  <si>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</si>
  <si>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</si>
  <si>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</si>
  <si>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</si>
  <si>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</si>
  <si>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</si>
  <si>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</si>
  <si>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</si>
  <si>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</si>
  <si>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</si>
  <si>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</si>
  <si>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</si>
  <si>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</si>
  <si>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</si>
  <si>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</si>
  <si>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</si>
  <si>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</si>
  <si>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</si>
  <si>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</si>
  <si>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</si>
  <si>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</si>
  <si>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</si>
  <si>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</si>
  <si>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</si>
  <si>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</si>
  <si>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</si>
  <si>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</si>
  <si>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</si>
  <si>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</si>
  <si>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</si>
  <si>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</si>
  <si>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</si>
  <si>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</si>
  <si>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</si>
  <si>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</si>
  <si>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</si>
  <si>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</si>
  <si>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</si>
  <si>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</si>
  <si>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</si>
  <si>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</si>
  <si>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</si>
  <si>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</si>
  <si>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</si>
  <si>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</si>
  <si>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</si>
  <si>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</si>
  <si>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</si>
  <si>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</si>
  <si>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</si>
  <si>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</si>
  <si>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</si>
  <si>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</si>
  <si>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</si>
  <si>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</si>
  <si>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</si>
  <si>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</si>
  <si>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</si>
  <si>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</si>
  <si>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</si>
  <si>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</si>
  <si>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</si>
  <si>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</si>
  <si>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</si>
  <si>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</si>
  <si>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</si>
  <si>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</si>
  <si>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</si>
  <si>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</si>
  <si>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</si>
  <si>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</si>
  <si>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</si>
  <si>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</si>
  <si>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</si>
  <si>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</si>
  <si>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</si>
  <si>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</si>
  <si>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</si>
  <si>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</si>
  <si>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</si>
  <si>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</si>
  <si>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</si>
  <si>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</si>
  <si>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</si>
  <si>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</si>
  <si>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</si>
  <si>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</si>
  <si>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</si>
  <si>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</si>
  <si>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</si>
  <si>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</si>
  <si>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</si>
  <si>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</si>
  <si>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</si>
  <si>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</si>
  <si>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</si>
  <si>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</si>
  <si>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</si>
  <si>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</si>
  <si>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</si>
  <si>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</si>
  <si>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</si>
  <si>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</si>
  <si>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</si>
  <si>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</si>
  <si>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</si>
  <si>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</si>
  <si>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</si>
  <si>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</si>
  <si>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</si>
  <si>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</si>
  <si>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</si>
  <si>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</si>
  <si>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</si>
  <si>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</si>
  <si>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</si>
  <si>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</si>
  <si>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</si>
  <si>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</si>
  <si>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</si>
  <si>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</si>
  <si>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</si>
  <si>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</si>
  <si>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</si>
  <si>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</si>
  <si>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</si>
  <si>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</si>
  <si>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</si>
  <si>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</si>
  <si>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</si>
  <si>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</si>
  <si>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</si>
  <si>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</si>
  <si>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</si>
  <si>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</si>
  <si>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</si>
  <si>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</si>
  <si>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</si>
  <si>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</si>
  <si>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</si>
  <si>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</si>
  <si>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</si>
  <si>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</si>
  <si>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</si>
  <si>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</si>
  <si>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</si>
  <si>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</si>
  <si>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</si>
  <si>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</si>
  <si>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</si>
  <si>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</si>
  <si>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</si>
  <si>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</si>
  <si>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</si>
  <si>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</si>
  <si>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</si>
  <si>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</si>
  <si>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</si>
  <si>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</si>
  <si>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</si>
  <si>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</si>
  <si>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</si>
  <si>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</si>
  <si>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</si>
  <si>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</si>
  <si>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</si>
  <si>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</si>
  <si>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</si>
  <si>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</si>
  <si>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</si>
  <si>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</si>
  <si>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</si>
  <si>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</si>
  <si>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</si>
  <si>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</si>
  <si>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</si>
  <si>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</si>
  <si>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</si>
  <si>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</si>
  <si>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</si>
  <si>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</si>
  <si>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</si>
  <si>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</si>
  <si>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</si>
  <si>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</si>
  <si>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</si>
  <si>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</si>
  <si>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</si>
  <si>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</si>
  <si>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</si>
  <si>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</si>
  <si>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</si>
  <si>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</si>
  <si>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</si>
  <si>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</si>
  <si>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</si>
  <si>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</si>
  <si>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</si>
  <si>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</si>
  <si>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</si>
  <si>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</si>
  <si>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</si>
  <si>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</si>
  <si>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</si>
  <si>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</si>
  <si>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</si>
  <si>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</si>
  <si>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</si>
  <si>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</si>
  <si>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</si>
  <si>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</si>
  <si>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</si>
  <si>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</si>
  <si>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</si>
  <si>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</si>
  <si>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</si>
  <si>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</si>
  <si>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</si>
  <si>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</si>
  <si>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</si>
  <si>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</si>
  <si>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</si>
  <si>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</si>
  <si>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</si>
  <si>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</si>
  <si>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</si>
  <si>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</si>
  <si>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</si>
  <si>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</si>
  <si>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</si>
  <si>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</si>
  <si>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</si>
  <si>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</si>
  <si>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</si>
  <si>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</si>
  <si>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</si>
  <si>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</si>
  <si>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</si>
  <si>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</si>
  <si>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</si>
  <si>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</si>
  <si>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</si>
  <si>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</si>
  <si>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</si>
  <si>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</si>
  <si>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</si>
  <si>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</si>
  <si>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</si>
  <si>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</si>
  <si>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</si>
  <si>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</si>
  <si>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</si>
  <si>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</si>
  <si>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</si>
  <si>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</si>
  <si>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</si>
  <si>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</si>
  <si>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</si>
  <si>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</si>
  <si>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</si>
  <si>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</si>
  <si>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</si>
  <si>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</si>
  <si>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</si>
  <si>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</si>
  <si>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</si>
  <si>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</si>
  <si>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</si>
  <si>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</si>
  <si>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</si>
  <si>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</si>
  <si>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</si>
  <si>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</si>
  <si>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</si>
  <si>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</si>
  <si>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</si>
  <si>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</si>
  <si>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</si>
  <si>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</si>
  <si>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</si>
  <si>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</si>
  <si>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</si>
  <si>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</si>
  <si>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</si>
  <si>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</si>
  <si>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</si>
  <si>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</si>
  <si>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</si>
  <si>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</si>
  <si>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</si>
  <si>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</si>
  <si>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</si>
  <si>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</si>
  <si>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</si>
  <si>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</si>
  <si>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</si>
  <si>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</si>
  <si>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</si>
  <si>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</si>
  <si>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</si>
  <si>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</si>
  <si>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</si>
  <si>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</si>
  <si>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</si>
  <si>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</si>
  <si>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</si>
  <si>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</si>
  <si>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</si>
  <si>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</si>
  <si>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</si>
  <si>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</si>
  <si>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</si>
  <si>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</si>
  <si>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</si>
  <si>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</si>
  <si>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</si>
  <si>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</si>
  <si>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</si>
  <si>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</si>
  <si>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</si>
  <si>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</si>
  <si>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</si>
  <si>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</si>
  <si>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</si>
  <si>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</si>
  <si>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</si>
  <si>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</si>
  <si>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</si>
  <si>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</si>
  <si>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</si>
  <si>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</si>
  <si>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</si>
  <si>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</si>
  <si>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</si>
  <si>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</si>
  <si>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</si>
  <si>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</si>
  <si>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</si>
  <si>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</si>
  <si>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</si>
  <si>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</si>
  <si>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</si>
  <si>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</si>
  <si>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</si>
  <si>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</si>
  <si>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</si>
  <si>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</si>
  <si>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</si>
  <si>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</si>
  <si>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</si>
  <si>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</si>
  <si>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</si>
  <si>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</si>
  <si>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</si>
  <si>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</si>
  <si>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</si>
  <si>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</si>
  <si>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</si>
  <si>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</si>
  <si>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</si>
  <si>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</si>
  <si>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</si>
  <si>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</si>
  <si>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</si>
  <si>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</si>
  <si>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</si>
  <si>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</si>
  <si>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</si>
  <si>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</si>
  <si>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</si>
  <si>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</si>
  <si>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</si>
  <si>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</si>
  <si>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</si>
  <si>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</si>
  <si>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</si>
  <si>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</si>
  <si>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</si>
  <si>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</si>
  <si>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</si>
  <si>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</si>
  <si>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</si>
  <si>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</si>
  <si>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</si>
  <si>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</si>
  <si>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</si>
  <si>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</si>
  <si>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</si>
  <si>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</si>
  <si>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</si>
  <si>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</si>
  <si>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</si>
  <si>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</si>
  <si>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</si>
  <si>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</si>
  <si>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</si>
  <si>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</si>
  <si>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</si>
  <si>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</si>
  <si>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</si>
  <si>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</si>
  <si>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</si>
  <si>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</si>
  <si>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</si>
  <si>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</si>
  <si>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</si>
  <si>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</si>
  <si>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</si>
  <si>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</si>
  <si>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</si>
  <si>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</si>
  <si>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</si>
  <si>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</si>
  <si>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</si>
  <si>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</si>
  <si>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</si>
  <si>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</si>
  <si>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</si>
  <si>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</si>
  <si>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</si>
  <si>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</si>
  <si>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</si>
  <si>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</si>
  <si>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</si>
  <si>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</si>
  <si>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</si>
  <si>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</si>
  <si>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</si>
  <si>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</si>
  <si>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</si>
  <si>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</si>
  <si>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</si>
  <si>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</si>
  <si>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</si>
  <si>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</si>
  <si>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</si>
  <si>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</si>
  <si>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</si>
  <si>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</si>
  <si>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</si>
  <si>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</si>
  <si>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</si>
  <si>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</si>
  <si>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</si>
  <si>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</si>
  <si>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</si>
  <si>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</si>
  <si>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</si>
  <si>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</si>
  <si>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</si>
  <si>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</si>
  <si>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</si>
  <si>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</si>
  <si>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</si>
  <si>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</si>
  <si>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</si>
  <si>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</si>
  <si>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</si>
  <si>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</si>
  <si>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</si>
  <si>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</si>
  <si>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</si>
  <si>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</si>
  <si>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</si>
  <si>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</si>
  <si>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</si>
  <si>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</si>
  <si>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</si>
  <si>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</si>
  <si>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</si>
  <si>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</si>
  <si>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</si>
  <si>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</si>
  <si>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</si>
  <si>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</si>
  <si>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</si>
  <si>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</si>
  <si>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</si>
  <si>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</si>
  <si>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</si>
  <si>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</si>
  <si>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</si>
  <si>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</si>
  <si>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</si>
  <si>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</si>
  <si>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</si>
  <si>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</si>
  <si>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</si>
  <si>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</si>
  <si>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</si>
  <si>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</si>
  <si>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</si>
  <si>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</si>
  <si>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</si>
  <si>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</si>
  <si>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</si>
  <si>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</si>
  <si>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</si>
  <si>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</si>
  <si>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</si>
  <si>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</si>
  <si>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</si>
  <si>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</si>
  <si>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</si>
  <si>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</si>
  <si>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</si>
  <si>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</si>
  <si>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</si>
  <si>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</si>
  <si>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</si>
  <si>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</si>
  <si>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</si>
  <si>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</si>
  <si>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</si>
  <si>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</si>
  <si>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</si>
  <si>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</si>
  <si>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</si>
  <si>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</si>
  <si>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</si>
  <si>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</si>
  <si>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</si>
  <si>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</si>
  <si>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</si>
  <si>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</si>
  <si>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</si>
  <si>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</si>
  <si>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</si>
  <si>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</si>
  <si>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</si>
  <si>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</si>
  <si>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</si>
  <si>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</si>
  <si>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</si>
  <si>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</si>
  <si>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</si>
  <si>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</si>
  <si>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</si>
  <si>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</si>
  <si>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</si>
  <si>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</si>
  <si>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</si>
  <si>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</si>
  <si>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</si>
  <si>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</si>
  <si>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</si>
  <si>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</si>
  <si>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</si>
  <si>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</si>
  <si>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</si>
  <si>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</si>
  <si>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</si>
  <si>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</si>
  <si>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</si>
  <si>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</si>
  <si>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</si>
  <si>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</si>
  <si>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</si>
  <si>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</si>
  <si>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</si>
  <si>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</si>
  <si>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</si>
  <si>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</si>
  <si>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</si>
  <si>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</si>
  <si>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</si>
  <si>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</si>
  <si>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</si>
  <si>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</si>
  <si>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</si>
  <si>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</si>
  <si>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</si>
  <si>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</si>
  <si>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</si>
  <si>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</si>
  <si>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</si>
  <si>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</si>
  <si>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</si>
  <si>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</si>
  <si>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</si>
  <si>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</si>
  <si>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</si>
  <si>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</si>
  <si>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</si>
  <si>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</si>
  <si>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</si>
  <si>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</si>
  <si>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</si>
  <si>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</si>
  <si>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</si>
  <si>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</si>
  <si>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</si>
  <si>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</si>
  <si>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</si>
  <si>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</si>
  <si>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</si>
  <si>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</si>
  <si>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</si>
  <si>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</si>
  <si>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</si>
  <si>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</si>
  <si>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</si>
  <si>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</si>
  <si>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</si>
  <si>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</si>
  <si>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</si>
  <si>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</si>
  <si>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</si>
  <si>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</si>
  <si>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</si>
  <si>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</si>
  <si>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</si>
  <si>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</si>
  <si>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</si>
  <si>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</si>
  <si>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</si>
  <si>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</si>
  <si>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</si>
  <si>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</si>
  <si>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</si>
  <si>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</si>
  <si>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</si>
  <si>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</si>
  <si>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</si>
  <si>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</si>
  <si>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</si>
  <si>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</si>
  <si>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</si>
  <si>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</si>
  <si>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</si>
  <si>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</si>
  <si>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</si>
  <si>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</si>
  <si>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</si>
  <si>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</si>
  <si>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</si>
  <si>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</si>
  <si>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</si>
  <si>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</si>
  <si>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</si>
  <si>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</si>
  <si>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</si>
  <si>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</si>
  <si>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</si>
  <si>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</si>
  <si>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</si>
  <si>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</si>
  <si>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</si>
  <si>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</si>
  <si>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</si>
  <si>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</si>
  <si>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</si>
  <si>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</si>
  <si>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</si>
  <si>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</si>
  <si>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</si>
  <si>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</si>
  <si>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</si>
  <si>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</si>
  <si>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</si>
  <si>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</si>
  <si>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</si>
  <si>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</si>
  <si>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</si>
  <si>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</si>
  <si>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</si>
  <si>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</si>
  <si>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</si>
  <si>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</si>
  <si>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</si>
  <si>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</si>
  <si>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</si>
  <si>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</si>
  <si>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</si>
  <si>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</si>
  <si>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</si>
  <si>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</si>
  <si>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</si>
  <si>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</si>
  <si>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</si>
  <si>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</si>
  <si>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</si>
  <si>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</si>
  <si>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</si>
  <si>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</si>
  <si>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</si>
  <si>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</si>
  <si>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</si>
  <si>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</si>
  <si>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</si>
  <si>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</si>
  <si>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</si>
  <si>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</si>
  <si>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</si>
  <si>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</si>
  <si>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</si>
  <si>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</si>
  <si>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</si>
  <si>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</si>
  <si>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</si>
  <si>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</si>
  <si>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</si>
  <si>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</si>
  <si>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</si>
  <si>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</si>
  <si>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</si>
  <si>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</si>
  <si>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</si>
  <si>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</si>
  <si>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</si>
  <si>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</si>
  <si>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</si>
  <si>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</si>
  <si>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</si>
  <si>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</si>
  <si>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</si>
  <si>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</si>
  <si>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</si>
  <si>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</si>
  <si>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</si>
  <si>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</si>
  <si>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</si>
  <si>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</si>
  <si>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</si>
  <si>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</si>
  <si>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</si>
  <si>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</si>
  <si>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</si>
  <si>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</si>
  <si>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</si>
  <si>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</si>
  <si>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</si>
  <si>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</si>
  <si>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</si>
  <si>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</si>
  <si>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</si>
  <si>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</si>
  <si>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</si>
  <si>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</si>
  <si>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</si>
  <si>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</si>
  <si>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</si>
  <si>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</si>
  <si>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</si>
  <si>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</si>
  <si>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</si>
  <si>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</si>
  <si>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</si>
  <si>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</si>
  <si>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</si>
  <si>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</si>
  <si>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</si>
  <si>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</si>
  <si>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</si>
  <si>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</si>
  <si>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</si>
  <si>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</si>
  <si>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</si>
  <si>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</si>
  <si>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</si>
  <si>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</si>
  <si>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</si>
  <si>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</si>
  <si>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</si>
  <si>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</si>
  <si>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</si>
  <si>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</si>
  <si>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</si>
  <si>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</si>
  <si>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</si>
  <si>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</si>
  <si>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</si>
  <si>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</si>
  <si>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</si>
  <si>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</si>
  <si>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</si>
  <si>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</si>
  <si>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</si>
  <si>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</si>
  <si>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</si>
  <si>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</si>
  <si>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</si>
  <si>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</si>
  <si>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</si>
  <si>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</si>
  <si>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</si>
  <si>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</si>
  <si>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</si>
  <si>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</si>
  <si>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</si>
  <si>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</si>
  <si>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</si>
  <si>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</si>
  <si>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</si>
  <si>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</si>
  <si>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</si>
  <si>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</si>
  <si>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</si>
  <si>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</si>
  <si>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</si>
  <si>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</si>
  <si>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</si>
  <si>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</si>
  <si>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</si>
  <si>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</si>
  <si>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</si>
  <si>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</si>
  <si>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</si>
  <si>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</si>
  <si>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</si>
  <si>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</si>
  <si>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</si>
  <si>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</si>
  <si>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</si>
  <si>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</si>
  <si>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</si>
  <si>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</si>
  <si>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</si>
  <si>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</si>
  <si>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</si>
  <si>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</si>
  <si>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</si>
  <si>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</si>
  <si>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</si>
  <si>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</si>
  <si>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</si>
  <si>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</si>
  <si>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</si>
  <si>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</si>
  <si>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</si>
  <si>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</si>
  <si>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</si>
  <si>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</si>
  <si>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</si>
  <si>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</si>
  <si>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</si>
  <si>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</si>
  <si>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</si>
  <si>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</si>
  <si>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</si>
  <si>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</si>
  <si>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</si>
  <si>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</si>
  <si>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</si>
  <si>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</si>
  <si>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</si>
  <si>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</si>
  <si>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</si>
  <si>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</si>
  <si>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</si>
  <si>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</si>
  <si>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</si>
  <si>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</si>
  <si>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</si>
  <si>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</si>
  <si>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</si>
  <si>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</si>
  <si>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</si>
  <si>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</si>
  <si>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</si>
  <si>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</si>
  <si>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</si>
  <si>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</si>
  <si>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</si>
  <si>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</si>
  <si>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</si>
  <si>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</si>
  <si>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</si>
  <si>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</si>
  <si>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</si>
  <si>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</si>
  <si>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</si>
  <si>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</si>
  <si>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</si>
  <si>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</si>
  <si>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</si>
  <si>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</si>
  <si>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</si>
  <si>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</si>
  <si>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</si>
  <si>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</si>
  <si>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</si>
  <si>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</si>
  <si>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</si>
  <si>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</si>
  <si>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</si>
  <si>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</si>
  <si>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</si>
  <si>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</si>
  <si>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</si>
  <si>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</si>
  <si>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</si>
  <si>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</si>
  <si>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</si>
  <si>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</si>
  <si>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</si>
  <si>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</si>
  <si>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</si>
  <si>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</si>
  <si>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</si>
  <si>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</si>
  <si>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</si>
  <si>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</si>
  <si>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</si>
  <si>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</si>
  <si>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</si>
  <si>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</si>
  <si>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</si>
  <si>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</si>
  <si>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</si>
  <si>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</si>
  <si>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</si>
  <si>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</si>
  <si>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</si>
  <si>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</si>
  <si>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</si>
  <si>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</si>
  <si>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</si>
  <si>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</si>
  <si>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</si>
  <si>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</si>
  <si>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</si>
  <si>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</si>
  <si>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</si>
  <si>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</si>
  <si>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</si>
  <si>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</si>
  <si>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</si>
  <si>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</si>
  <si>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</si>
  <si>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</si>
  <si>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</si>
  <si>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</si>
  <si>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</si>
  <si>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</si>
  <si>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</si>
  <si>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</si>
  <si>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</si>
  <si>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</si>
  <si>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</si>
  <si>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</si>
  <si>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</si>
  <si>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</si>
  <si>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</si>
  <si>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</si>
  <si>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</si>
  <si>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</si>
  <si>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</si>
  <si>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</si>
  <si>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</si>
  <si>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</si>
  <si>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</si>
  <si>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</si>
  <si>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</si>
  <si>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</si>
  <si>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</si>
  <si>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</si>
  <si>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</si>
  <si>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</si>
  <si>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</si>
  <si>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</si>
  <si>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</si>
  <si>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</si>
  <si>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</si>
  <si>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</si>
  <si>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</si>
  <si>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</si>
  <si>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</si>
  <si>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</si>
  <si>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</si>
  <si>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</si>
  <si>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</si>
  <si>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</si>
  <si>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</si>
  <si>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</si>
  <si>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</si>
  <si>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</si>
  <si>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</si>
  <si>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</si>
  <si>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</si>
  <si>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</si>
  <si>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</si>
  <si>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</si>
  <si>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</si>
  <si>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</si>
  <si>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</si>
  <si>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</si>
  <si>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</si>
  <si>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</si>
  <si>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</si>
  <si>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</si>
  <si>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</si>
  <si>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</si>
  <si>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</si>
  <si>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</si>
  <si>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</si>
  <si>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</si>
  <si>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</si>
  <si>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</si>
  <si>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</si>
  <si>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</si>
  <si>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</si>
  <si>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</si>
  <si>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</si>
  <si>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</si>
  <si>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</si>
  <si>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</si>
  <si>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</si>
  <si>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</si>
  <si>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</si>
  <si>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</si>
  <si>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</si>
  <si>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</si>
  <si>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</si>
  <si>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</si>
  <si>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</si>
  <si>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</si>
  <si>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</si>
  <si>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</si>
  <si>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</si>
  <si>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</si>
  <si>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</si>
  <si>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</si>
  <si>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</si>
  <si>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</si>
  <si>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</si>
  <si>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</si>
  <si>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</si>
  <si>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</si>
  <si>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</si>
  <si>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</si>
  <si>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</si>
  <si>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</si>
  <si>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</si>
  <si>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</si>
  <si>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</si>
  <si>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</si>
  <si>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</si>
  <si>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</si>
  <si>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</si>
  <si>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</si>
  <si>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</si>
  <si>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</si>
  <si>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</si>
  <si>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</si>
  <si>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</si>
  <si>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</si>
  <si>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</si>
  <si>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</si>
  <si>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</si>
  <si>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</si>
  <si>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</si>
  <si>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</si>
  <si>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</si>
  <si>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</si>
  <si>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</si>
  <si>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</si>
  <si>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</si>
  <si>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</si>
  <si>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</si>
  <si>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</si>
  <si>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</si>
  <si>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</si>
  <si>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</si>
  <si>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</si>
  <si>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</si>
  <si>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</si>
  <si>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</si>
  <si>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</si>
  <si>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</si>
  <si>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</si>
  <si>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</si>
  <si>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</si>
  <si>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</si>
  <si>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</si>
  <si>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</si>
  <si>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</si>
  <si>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</si>
  <si>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</si>
  <si>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</si>
  <si>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</si>
  <si>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</si>
  <si>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</si>
  <si>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</si>
  <si>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</si>
  <si>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</si>
  <si>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</si>
  <si>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</si>
  <si>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</si>
  <si>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</si>
  <si>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</si>
  <si>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</si>
  <si>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</si>
  <si>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</si>
  <si>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</si>
  <si>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</si>
  <si>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</si>
  <si>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</si>
  <si>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</si>
  <si>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</si>
  <si>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</si>
  <si>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</si>
  <si>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</si>
  <si>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</si>
  <si>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</si>
  <si>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</si>
  <si>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</si>
  <si>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</si>
  <si>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</si>
  <si>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</si>
  <si>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</si>
  <si>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</si>
  <si>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</si>
  <si>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</si>
  <si>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</si>
  <si>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</si>
  <si>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</si>
  <si>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</si>
  <si>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</si>
  <si>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</si>
  <si>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</si>
  <si>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</si>
  <si>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</si>
  <si>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</si>
  <si>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</si>
  <si>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</si>
  <si>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</si>
  <si>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</si>
  <si>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</si>
  <si>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</si>
  <si>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</si>
  <si>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</si>
  <si>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</si>
  <si>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</si>
  <si>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</si>
  <si>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</si>
  <si>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</si>
  <si>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</si>
  <si>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</si>
  <si>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</si>
  <si>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</si>
  <si>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</si>
  <si>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</si>
  <si>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</si>
  <si>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</si>
  <si>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</si>
  <si>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</si>
  <si>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</si>
  <si>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</si>
  <si>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</si>
  <si>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</si>
  <si>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</si>
  <si>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</si>
  <si>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</si>
  <si>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</si>
  <si>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</si>
  <si>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</si>
  <si>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</si>
  <si>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</si>
  <si>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</si>
  <si>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</si>
  <si>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</si>
  <si>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</si>
  <si>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</si>
  <si>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</si>
  <si>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</si>
  <si>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</si>
  <si>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</si>
  <si>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</si>
  <si>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</si>
  <si>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</si>
  <si>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</si>
  <si>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</si>
  <si>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</si>
  <si>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</si>
  <si>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</si>
  <si>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</si>
  <si>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</si>
  <si>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</si>
  <si>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</si>
  <si>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</si>
  <si>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</si>
  <si>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</si>
  <si>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</si>
  <si>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</si>
  <si>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</si>
  <si>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</si>
  <si>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</si>
  <si>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</si>
  <si>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</si>
  <si>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</si>
  <si>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</si>
  <si>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</si>
  <si>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</si>
  <si>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</si>
  <si>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</si>
  <si>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</si>
  <si>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</si>
  <si>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</si>
  <si>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</si>
  <si>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</si>
  <si>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</si>
  <si>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</si>
  <si>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</si>
  <si>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</si>
  <si>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</si>
  <si>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</si>
  <si>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</si>
  <si>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</si>
  <si>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</si>
  <si>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</si>
  <si>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</si>
  <si>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</si>
  <si>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</si>
  <si>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</si>
  <si>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</si>
  <si>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</si>
  <si>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</si>
  <si>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</si>
  <si>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</si>
  <si>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</si>
  <si>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</si>
  <si>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</si>
  <si>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</si>
  <si>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</si>
  <si>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</si>
  <si>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</si>
  <si>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</si>
  <si>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</si>
  <si>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</si>
  <si>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</si>
  <si>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</si>
  <si>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</si>
  <si>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</si>
  <si>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</si>
  <si>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</si>
  <si>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</si>
  <si>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</si>
  <si>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</si>
  <si>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</si>
  <si>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</si>
  <si>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</si>
  <si>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</si>
  <si>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</si>
  <si>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</si>
  <si>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</si>
  <si>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</si>
  <si>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</si>
  <si>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</si>
  <si>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</si>
  <si>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</si>
  <si>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</si>
  <si>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</si>
  <si>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</si>
  <si>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</si>
  <si>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</si>
  <si>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</si>
  <si>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</si>
  <si>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</si>
  <si>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</si>
  <si>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</si>
  <si>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</si>
  <si>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</si>
  <si>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</si>
  <si>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</si>
  <si>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</si>
  <si>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</si>
  <si>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</si>
  <si>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</si>
  <si>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</si>
  <si>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</si>
  <si>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</si>
  <si>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</si>
  <si>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</si>
  <si>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</si>
  <si>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</si>
  <si>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</si>
  <si>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</si>
  <si>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</si>
  <si>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</si>
  <si>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</si>
  <si>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</si>
  <si>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</si>
  <si>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</si>
  <si>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</si>
  <si>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</si>
  <si>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</si>
  <si>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</si>
  <si>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</si>
  <si>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</si>
  <si>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</si>
  <si>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</si>
  <si>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</si>
  <si>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</si>
  <si>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</si>
  <si>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</si>
  <si>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</si>
  <si>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</si>
  <si>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</si>
  <si>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</si>
  <si>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</si>
  <si>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</si>
  <si>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</si>
  <si>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</si>
  <si>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</si>
  <si>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</si>
  <si>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</si>
  <si>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</si>
  <si>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</si>
  <si>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</si>
  <si>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</si>
  <si>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</si>
  <si>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</si>
  <si>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</si>
  <si>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</si>
  <si>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</si>
  <si>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</si>
  <si>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</si>
  <si>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</si>
  <si>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</si>
  <si>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</si>
  <si>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</si>
  <si>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</si>
  <si>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</si>
  <si>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</si>
  <si>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</si>
  <si>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</si>
  <si>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</si>
  <si>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</si>
  <si>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</si>
  <si>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</si>
  <si>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</si>
  <si>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</si>
  <si>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</si>
  <si>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</si>
  <si>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</si>
  <si>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</si>
  <si>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</si>
  <si>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</si>
  <si>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</si>
  <si>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</si>
  <si>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</si>
  <si>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</si>
  <si>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</si>
  <si>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</si>
  <si>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</si>
  <si>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</si>
  <si>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</si>
  <si>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</si>
  <si>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</si>
  <si>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</si>
  <si>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</si>
  <si>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</si>
  <si>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</si>
  <si>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</si>
  <si>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</si>
  <si>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</si>
  <si>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</si>
  <si>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</si>
  <si>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</si>
  <si>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</si>
  <si>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</si>
  <si>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</si>
  <si>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</si>
  <si>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</si>
  <si>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</si>
  <si>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</si>
  <si>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</si>
  <si>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</si>
  <si>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</si>
  <si>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</si>
  <si>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</si>
  <si>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</si>
  <si>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</si>
  <si>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</si>
  <si>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</si>
  <si>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</si>
  <si>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</si>
  <si>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</si>
  <si>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</si>
  <si>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</si>
  <si>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</si>
  <si>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</si>
  <si>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</si>
  <si>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</si>
  <si>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</si>
  <si>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</si>
  <si>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</si>
  <si>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</si>
  <si>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</si>
  <si>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</si>
  <si>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</si>
  <si>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</si>
  <si>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</si>
  <si>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</si>
  <si>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</si>
  <si>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</si>
  <si>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</si>
  <si>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</si>
  <si>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</si>
  <si>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</si>
  <si>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</si>
  <si>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</si>
  <si>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</si>
  <si>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</si>
  <si>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</si>
  <si>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</si>
  <si>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</si>
  <si>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</si>
  <si>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</si>
  <si>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</si>
  <si>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</si>
  <si>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</si>
  <si>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</si>
  <si>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</si>
  <si>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</si>
  <si>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</si>
  <si>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</si>
  <si>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</si>
  <si>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</si>
  <si>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</si>
  <si>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</si>
  <si>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</si>
  <si>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</si>
  <si>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</si>
  <si>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</si>
  <si>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</si>
  <si>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</si>
  <si>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</si>
  <si>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</si>
  <si>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</si>
  <si>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</si>
  <si>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</si>
  <si>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</si>
  <si>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</si>
  <si>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</si>
  <si>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</si>
  <si>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</si>
  <si>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</si>
  <si>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</si>
  <si>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</si>
  <si>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</si>
  <si>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</si>
  <si>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</si>
  <si>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</si>
  <si>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</si>
  <si>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</si>
  <si>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</si>
  <si>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</si>
  <si>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</si>
  <si>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</si>
  <si>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</si>
  <si>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</si>
  <si>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</si>
  <si>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</si>
  <si>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</si>
  <si>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</si>
  <si>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</si>
  <si>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</si>
  <si>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</si>
  <si>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</si>
  <si>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</si>
  <si>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</si>
  <si>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</si>
  <si>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</si>
  <si>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</si>
  <si>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</si>
  <si>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</si>
  <si>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</si>
  <si>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</si>
  <si>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</si>
  <si>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</si>
  <si>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</si>
  <si>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</si>
  <si>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</si>
  <si>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</si>
  <si>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</si>
  <si>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</si>
  <si>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</si>
  <si>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</si>
  <si>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</si>
  <si>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</si>
  <si>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</si>
  <si>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</si>
  <si>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</si>
  <si>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</si>
  <si>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</si>
  <si>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</si>
  <si>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</si>
  <si>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</si>
  <si>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</si>
  <si>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</si>
  <si>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</si>
  <si>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</si>
  <si>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</si>
  <si>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</si>
  <si>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</si>
  <si>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</si>
  <si>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</si>
  <si>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</si>
  <si>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</si>
  <si>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</si>
  <si>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</si>
  <si>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</si>
  <si>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</si>
  <si>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</si>
  <si>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</si>
  <si>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</si>
  <si>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</si>
  <si>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</si>
  <si>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</si>
  <si>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</si>
  <si>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</si>
  <si>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</si>
  <si>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</si>
  <si>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</si>
  <si>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</si>
  <si>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</si>
  <si>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</si>
  <si>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</si>
  <si>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</si>
  <si>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</si>
  <si>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</si>
  <si>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</si>
  <si>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</si>
  <si>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</si>
  <si>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</si>
  <si>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</si>
  <si>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</si>
  <si>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</si>
  <si>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</si>
  <si>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</si>
  <si>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</si>
  <si>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</si>
  <si>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</si>
  <si>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</si>
  <si>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</si>
  <si>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</si>
  <si>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</si>
  <si>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</si>
  <si>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</si>
  <si>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</si>
  <si>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</si>
  <si>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</si>
  <si>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</si>
  <si>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</si>
  <si>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</si>
  <si>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</si>
  <si>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</si>
  <si>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</si>
  <si>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</si>
  <si>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</si>
  <si>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</si>
  <si>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</si>
  <si>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</si>
  <si>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</si>
  <si>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</si>
  <si>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</si>
  <si>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</si>
  <si>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</si>
  <si>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</si>
  <si>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</si>
  <si>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</si>
  <si>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</si>
  <si>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</si>
  <si>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</si>
  <si>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</si>
  <si>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</si>
  <si>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</si>
  <si>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</si>
  <si>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</si>
  <si>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</si>
  <si>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</si>
  <si>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</si>
  <si>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</si>
  <si>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</si>
  <si>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</si>
  <si>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</si>
  <si>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</si>
  <si>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</si>
  <si>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</si>
  <si>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</si>
  <si>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</si>
  <si>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</si>
  <si>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</si>
  <si>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</si>
  <si>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</si>
  <si>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</si>
  <si>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</si>
  <si>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</si>
  <si>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</si>
  <si>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</si>
  <si>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</si>
  <si>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</si>
  <si>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</si>
  <si>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</si>
  <si>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</si>
  <si>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</si>
  <si>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</si>
  <si>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</si>
  <si>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</si>
  <si>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</si>
  <si>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</si>
  <si>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</si>
  <si>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</si>
  <si>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</si>
  <si>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</si>
  <si>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</si>
  <si>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</si>
  <si>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</si>
  <si>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</si>
  <si>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</si>
  <si>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</si>
  <si>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</si>
  <si>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</si>
  <si>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</si>
  <si>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</si>
  <si>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</si>
  <si>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</si>
  <si>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</si>
  <si>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</si>
  <si>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</si>
  <si>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</si>
  <si>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</si>
  <si>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</si>
  <si>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</si>
  <si>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</si>
  <si>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</si>
  <si>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</si>
  <si>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</si>
  <si>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</si>
  <si>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</si>
  <si>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</si>
  <si>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</si>
  <si>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</si>
  <si>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</si>
  <si>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</si>
  <si>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</si>
  <si>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</si>
  <si>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</si>
  <si>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</si>
  <si>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</si>
  <si>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</si>
  <si>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</si>
  <si>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</si>
  <si>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</si>
  <si>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</si>
  <si>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</si>
  <si>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</si>
  <si>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</si>
  <si>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</si>
  <si>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</si>
  <si>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</si>
  <si>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</si>
  <si>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</si>
  <si>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</si>
  <si>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</si>
  <si>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</si>
  <si>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</si>
  <si>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</si>
  <si>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</si>
  <si>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</si>
  <si>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</si>
  <si>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</si>
  <si>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</si>
  <si>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</si>
  <si>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</si>
  <si>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</si>
  <si>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</si>
  <si>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</si>
  <si>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</si>
  <si>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</si>
  <si>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</si>
  <si>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</si>
  <si>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</si>
  <si>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</si>
  <si>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</si>
  <si>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</si>
  <si>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</si>
  <si>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</si>
  <si>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</si>
  <si>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</si>
  <si>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</si>
  <si>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</si>
  <si>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</si>
  <si>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</si>
  <si>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</si>
  <si>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</si>
  <si>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</si>
  <si>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</si>
  <si>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</si>
  <si>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</si>
  <si>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</si>
  <si>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</si>
  <si>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</si>
  <si>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</si>
  <si>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</si>
  <si>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</si>
  <si>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</si>
  <si>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</si>
  <si>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</si>
  <si>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</si>
  <si>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</si>
  <si>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</si>
  <si>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</si>
  <si>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</si>
  <si>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</si>
  <si>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</si>
  <si>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</si>
  <si>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</si>
  <si>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</si>
  <si>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</si>
  <si>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</si>
  <si>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</si>
  <si>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</si>
  <si>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</si>
  <si>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</si>
  <si>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</si>
  <si>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</si>
  <si>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</si>
  <si>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</si>
  <si>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</si>
  <si>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</si>
  <si>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</si>
  <si>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</si>
  <si>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</si>
  <si>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</si>
  <si>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</si>
  <si>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</si>
  <si>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</si>
  <si>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</si>
  <si>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</si>
  <si>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</si>
  <si>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</si>
  <si>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</si>
  <si>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</si>
  <si>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</si>
  <si>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</si>
  <si>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</si>
  <si>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</si>
  <si>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</si>
  <si>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</si>
  <si>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</si>
  <si>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</si>
  <si>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</si>
  <si>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</si>
  <si>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</si>
  <si>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</si>
  <si>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</si>
  <si>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</si>
  <si>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</si>
  <si>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</si>
  <si>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</si>
  <si>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</si>
  <si>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</si>
  <si>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</si>
  <si>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</si>
  <si>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</si>
  <si>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</si>
  <si>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</si>
  <si>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</si>
  <si>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</si>
  <si>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</si>
  <si>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</si>
  <si>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</si>
  <si>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</si>
  <si>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</si>
  <si>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</si>
  <si>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</si>
  <si>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</si>
  <si>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</si>
  <si>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</si>
  <si>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</si>
  <si>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</si>
  <si>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</si>
  <si>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</si>
  <si>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</si>
  <si>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</si>
  <si>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</si>
  <si>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</si>
  <si>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</si>
  <si>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</si>
  <si>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</si>
  <si>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</si>
  <si>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</si>
  <si>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</si>
  <si>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</si>
  <si>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</si>
  <si>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</si>
  <si>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</si>
  <si>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</si>
  <si>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</si>
  <si>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</si>
  <si>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</si>
  <si>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</si>
  <si>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</si>
  <si>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</si>
  <si>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</si>
  <si>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</si>
  <si>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</si>
  <si>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</si>
  <si>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</si>
  <si>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</si>
  <si>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</si>
  <si>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</si>
  <si>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</si>
  <si>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</si>
  <si>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</si>
  <si>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</si>
  <si>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</si>
  <si>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</si>
  <si>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</si>
  <si>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</si>
  <si>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</si>
  <si>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</si>
  <si>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</si>
  <si>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</si>
  <si>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</si>
  <si>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</si>
  <si>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</si>
  <si>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</si>
  <si>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</si>
  <si>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</si>
  <si>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</si>
  <si>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</si>
  <si>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</si>
  <si>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</si>
  <si>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</si>
  <si>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</si>
  <si>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</si>
  <si>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</si>
  <si>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</si>
  <si>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</si>
  <si>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</si>
  <si>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</si>
  <si>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</si>
  <si>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</si>
  <si>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</si>
  <si>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</si>
  <si>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</si>
  <si>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</si>
  <si>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</si>
  <si>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</si>
  <si>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</si>
  <si>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</si>
  <si>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</si>
  <si>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</si>
  <si>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</si>
  <si>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</si>
  <si>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</si>
  <si>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</si>
  <si>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</si>
  <si>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</si>
  <si>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</si>
  <si>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</si>
  <si>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</si>
  <si>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</si>
  <si>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</si>
  <si>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</si>
  <si>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</si>
  <si>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</si>
  <si>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</si>
  <si>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</si>
  <si>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</si>
  <si>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</si>
  <si>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</si>
  <si>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</si>
  <si>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</si>
  <si>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</si>
  <si>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</si>
  <si>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</si>
  <si>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</si>
  <si>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</si>
  <si>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</si>
  <si>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</si>
  <si>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</si>
  <si>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</si>
  <si>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</si>
  <si>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</si>
  <si>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</si>
  <si>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</si>
  <si>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</si>
  <si>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</si>
  <si>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</si>
  <si>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</si>
  <si>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</si>
  <si>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</si>
  <si>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</si>
  <si>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</si>
  <si>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</si>
  <si>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</si>
  <si>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</si>
  <si>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</si>
  <si>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</si>
  <si>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</si>
  <si>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</si>
  <si>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</si>
  <si>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</si>
  <si>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</si>
  <si>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</si>
  <si>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</si>
  <si>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</si>
  <si>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</si>
  <si>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</si>
  <si>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</si>
  <si>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</si>
  <si>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</si>
  <si>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</si>
  <si>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</si>
  <si>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</si>
  <si>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</si>
  <si>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</si>
  <si>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</si>
  <si>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</si>
  <si>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</si>
  <si>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</si>
  <si>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</si>
  <si>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</si>
  <si>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</si>
  <si>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United Performance Metals</t>
  </si>
  <si>
    <t>3475 Symmes Rd. Hamilton, OH 45015</t>
  </si>
  <si>
    <t>Joey Snyder</t>
  </si>
  <si>
    <t>jsnyder@upmet.com</t>
  </si>
  <si>
    <t>513-860-6500</t>
  </si>
  <si>
    <t>Brad Butler</t>
  </si>
  <si>
    <t>Director of Quality and Compliance</t>
  </si>
  <si>
    <t>bbutler@upmet.com</t>
  </si>
  <si>
    <t>513-860-6518</t>
  </si>
  <si>
    <t>Cobalt is added to specific alloys purchased by UPM from mills - Cobalt is not added by UPM</t>
  </si>
  <si>
    <t>Copper is added to specific alloys purchased by UPM from mills - Copper is not added by UPM</t>
  </si>
  <si>
    <t>Nickel is added to specific alloys purchased by UPM from mills - Nickel is not added by UPM</t>
  </si>
  <si>
    <t>https://www.upmet.com/content/certifications-and-approvals</t>
  </si>
  <si>
    <t>Nickel Alloy 6230</t>
  </si>
  <si>
    <t>Waspaloy CR®</t>
  </si>
  <si>
    <t>Waspaloy® 5706</t>
  </si>
  <si>
    <t>Waspaloy® 5708</t>
  </si>
  <si>
    <t>15-5 PH Stainless Steel</t>
  </si>
  <si>
    <t>17-4 PH Stainless Steel</t>
  </si>
  <si>
    <t>17-7 PH Stainless Steel</t>
  </si>
  <si>
    <t>253MA® Stainless Steel</t>
  </si>
  <si>
    <t>301 Stainless Steel</t>
  </si>
  <si>
    <t>Inconel® 625</t>
  </si>
  <si>
    <t>Inconel® 600</t>
  </si>
  <si>
    <t>Inconel® 718</t>
  </si>
  <si>
    <t>Inconel® 718 CR</t>
  </si>
  <si>
    <t>Inconel® 901</t>
  </si>
  <si>
    <t>Inconel® Alloy A286</t>
  </si>
  <si>
    <t>Inconel® Alloy A286 CR</t>
  </si>
  <si>
    <t>Hastelloy® X</t>
  </si>
  <si>
    <t>Nimonic® 263</t>
  </si>
  <si>
    <t>Hastelloy® C-276</t>
  </si>
  <si>
    <t>Monel R‑405™</t>
  </si>
  <si>
    <t>Rene 41®</t>
  </si>
  <si>
    <t>Inconel Alloy® X-750</t>
  </si>
  <si>
    <t>301 Full Hard Tempered Stainless Steel</t>
  </si>
  <si>
    <t>301-1/2 Hard Tempered Stainless Steel</t>
  </si>
  <si>
    <t>301-1/4 Hard Tempered Stainless Steel</t>
  </si>
  <si>
    <t>302 Stainless Steel</t>
  </si>
  <si>
    <t>303 Stainless Steel</t>
  </si>
  <si>
    <t>304 Stainless Steel</t>
  </si>
  <si>
    <t>304L Stainless Steel</t>
  </si>
  <si>
    <t>305 Stainless Steel</t>
  </si>
  <si>
    <t>316 / 316L Stainless Steel</t>
  </si>
  <si>
    <t>316LS / 316LVM Surgical Stainless Steel</t>
  </si>
  <si>
    <t>321 Stainless Steel</t>
  </si>
  <si>
    <t>347 Stainless Steel</t>
  </si>
  <si>
    <t>410 Stainless Steel</t>
  </si>
  <si>
    <t>416 Stainless Steel Plate</t>
  </si>
  <si>
    <t>Alloy 422 Stainless Steel</t>
  </si>
  <si>
    <t>440C Stainless Steel</t>
  </si>
  <si>
    <t>AM 350® Stainless Steel</t>
  </si>
  <si>
    <t>Custom 455® Stainless Steel</t>
  </si>
  <si>
    <t>Custom 465® Stainless Steel</t>
  </si>
  <si>
    <t>Greek Ascoloy 418 Stainless Steel</t>
  </si>
  <si>
    <t>Alloy 188 Cobalt</t>
  </si>
  <si>
    <t>Alloy MP159® Cobalt</t>
  </si>
  <si>
    <t>CoNiChrome</t>
  </si>
  <si>
    <t>Alloy L605 Cobalt</t>
  </si>
  <si>
    <t>MP35N® Alloy Steel</t>
  </si>
  <si>
    <t>PRODEC® Type 304/304L</t>
  </si>
  <si>
    <t>PRODEC® Type 316/316L</t>
  </si>
  <si>
    <t>Cobalt Chrome Molybdenum</t>
  </si>
  <si>
    <t>4340 Steel</t>
  </si>
  <si>
    <t>CrMoV Steel</t>
  </si>
  <si>
    <t>Nitralloy135® Steel</t>
  </si>
  <si>
    <t>TOOLOX33® Steel</t>
  </si>
  <si>
    <t>C110 Copper</t>
  </si>
  <si>
    <t>Glencore Canada</t>
  </si>
  <si>
    <t>Anglo America</t>
  </si>
  <si>
    <t>PT Vale Indonesia</t>
  </si>
  <si>
    <t>Vale - Long Harbour Processing Plant (LHPP)</t>
  </si>
  <si>
    <t>S009</t>
  </si>
  <si>
    <t>Vesterveien 31</t>
  </si>
  <si>
    <t>Morten Tolfsen</t>
  </si>
  <si>
    <t xml:space="preserve"> morten.tolfsen@glencore.no</t>
  </si>
  <si>
    <t>https://coppermark.org/wp-content/uploads/2023/07/CopperMark_SummaryReport_Nikkelverk_FINAL.pdf</t>
  </si>
  <si>
    <t>Nickel Alloy 201</t>
  </si>
  <si>
    <t>Contains Copper and Nickel</t>
  </si>
  <si>
    <t>Contains Nickel and Silicon</t>
  </si>
  <si>
    <t>Nickel Alloy 718</t>
  </si>
  <si>
    <t>Nickel Alloy 718 CR</t>
  </si>
  <si>
    <t>Contains Cobalt, Nickel, and Silicon</t>
  </si>
  <si>
    <t>Contains Cobalt, Copper, Nickel, and Silicon</t>
  </si>
  <si>
    <t>Nickel Alloy 800H</t>
  </si>
  <si>
    <t>Alloy 800H</t>
  </si>
  <si>
    <t>Contains Copper, Nickel, and Silicon</t>
  </si>
  <si>
    <t>Nickel Alloy 901</t>
  </si>
  <si>
    <t>Alloy A286 Steel</t>
  </si>
  <si>
    <t>Alloy A286 CR Steel</t>
  </si>
  <si>
    <t>Nickel Alloy X</t>
  </si>
  <si>
    <t>Nickel Alloy C263</t>
  </si>
  <si>
    <t>Nickel Alloy 600</t>
  </si>
  <si>
    <t>Nickel Alloy C276</t>
  </si>
  <si>
    <t>Contains Cobalt and Nickel</t>
  </si>
  <si>
    <t>Nickel Alloy R405</t>
  </si>
  <si>
    <t>Nickel Alloy Rene41®</t>
  </si>
  <si>
    <t>Contains Cobalt and Silicon</t>
  </si>
  <si>
    <t>Waspaloy® Bar 5706</t>
  </si>
  <si>
    <t>Waspaloy® Bar 5708</t>
  </si>
  <si>
    <t>Nickel Alloy X750</t>
  </si>
  <si>
    <t>Contains Silicon</t>
  </si>
  <si>
    <t>Greek Ascoloy Stainless Steel</t>
  </si>
  <si>
    <t>Udimet Alloy® 188</t>
  </si>
  <si>
    <t>Alloy 159®</t>
  </si>
  <si>
    <t>Contains Nickel</t>
  </si>
  <si>
    <t>Cobalt‑Nickel‑Chromium Alloy</t>
  </si>
  <si>
    <t>Udimet Alloy® L605</t>
  </si>
  <si>
    <t>PRODEC® Type 304P/304LP</t>
  </si>
  <si>
    <t>4340 Steel Build Platform</t>
  </si>
  <si>
    <t>Chromium‑Molybdenum‑Vanadium Steel</t>
  </si>
  <si>
    <t>5083-H116</t>
  </si>
  <si>
    <t>5083-H116 Aluminum Build Platform</t>
  </si>
  <si>
    <t>6061-T651</t>
  </si>
  <si>
    <t>6061-T651 Aluminum Build Platform</t>
  </si>
  <si>
    <t>Contains Copper and Silicon</t>
  </si>
  <si>
    <t>7075-T651 Aluminum Build Platform</t>
  </si>
  <si>
    <t>7075-T651</t>
  </si>
  <si>
    <t>C110 Copper Build Platform</t>
  </si>
  <si>
    <t>Contains Copper</t>
  </si>
  <si>
    <t>TOOLOX® 33 Build Platform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</si>
</sst>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upmet.com/content/certifications-and-approvals" TargetMode="External"/><Relationship Id="rId2" Type="http://schemas.openxmlformats.org/officeDocument/2006/relationships/hyperlink" Target="mailto:bbutler@upmet.com" TargetMode="External"/><Relationship Id="rId1" Type="http://schemas.openxmlformats.org/officeDocument/2006/relationships/hyperlink" Target="mailto:jsnyder@upme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2"/>
      <c r="B2" s="1" t="s">
        <v>1</v>
      </c>
      <c r="C2" s="2"/>
      <c r="D2" s="145"/>
      <c r="E2" s="2"/>
      <c r="F2" s="2"/>
      <c r="G2" s="24"/>
    </row>
    <row r="3" spans="1:7">
      <c r="A3" s="392"/>
      <c r="B3" s="2" t="s">
        <v>2</v>
      </c>
      <c r="C3" s="1"/>
      <c r="D3" s="146"/>
      <c r="E3" s="2"/>
      <c r="F3" s="1"/>
      <c r="G3" s="24"/>
    </row>
    <row r="4" spans="1:7" ht="15">
      <c r="A4" s="392"/>
      <c r="B4" s="182" t="s">
        <v>3</v>
      </c>
      <c r="C4" s="183"/>
      <c r="D4" s="184"/>
      <c r="E4" s="2"/>
      <c r="F4" s="183"/>
      <c r="G4" s="24"/>
    </row>
    <row r="5" spans="1:7">
      <c r="A5" s="392"/>
      <c r="B5" s="188" t="s">
        <v>4</v>
      </c>
      <c r="C5" s="185"/>
      <c r="D5" s="186"/>
      <c r="E5" s="2"/>
      <c r="F5" s="185"/>
      <c r="G5" s="24"/>
    </row>
    <row r="6" spans="1:7">
      <c r="A6" s="392"/>
      <c r="B6" s="2"/>
      <c r="C6" s="2"/>
      <c r="D6" s="145"/>
      <c r="E6" s="2"/>
      <c r="F6" s="2"/>
      <c r="G6" s="24"/>
    </row>
    <row r="7" spans="1:7">
      <c r="A7" s="392"/>
      <c r="B7" s="2"/>
      <c r="C7" s="2"/>
      <c r="D7" s="145"/>
      <c r="E7" s="2"/>
      <c r="F7" s="2"/>
      <c r="G7" s="24"/>
    </row>
    <row r="8" spans="1:7">
      <c r="A8" s="392"/>
      <c r="B8" s="2"/>
      <c r="C8" s="2"/>
      <c r="D8" s="145"/>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ht="22.5">
      <c r="A12" s="392"/>
      <c r="B12" s="172" t="s">
        <v>7</v>
      </c>
      <c r="C12" s="173" t="s">
        <v>8</v>
      </c>
      <c r="D12" s="174" t="s">
        <v>9</v>
      </c>
      <c r="E12" s="173" t="s">
        <v>10</v>
      </c>
      <c r="F12" s="173" t="s">
        <v>11</v>
      </c>
      <c r="G12" s="24"/>
    </row>
    <row r="13" spans="1:7" ht="67.5">
      <c r="A13" s="392"/>
      <c r="B13" s="285">
        <v>1</v>
      </c>
      <c r="C13" s="223" t="s">
        <v>12</v>
      </c>
      <c r="D13" s="224">
        <v>44489</v>
      </c>
      <c r="E13" s="223" t="s">
        <v>11847</v>
      </c>
      <c r="F13" s="225" t="s">
        <v>11856</v>
      </c>
      <c r="G13" s="24"/>
    </row>
    <row r="14" spans="1:7" ht="67.5">
      <c r="A14" s="392"/>
      <c r="B14" s="222">
        <v>1.01</v>
      </c>
      <c r="C14" s="223" t="s">
        <v>12</v>
      </c>
      <c r="D14" s="224">
        <v>44523</v>
      </c>
      <c r="E14" s="223" t="s">
        <v>11848</v>
      </c>
      <c r="F14" s="225" t="s">
        <v>11856</v>
      </c>
      <c r="G14" s="24"/>
    </row>
    <row r="15" spans="1:7" ht="67.5">
      <c r="A15" s="392"/>
      <c r="B15" s="222">
        <v>1.02</v>
      </c>
      <c r="C15" s="223" t="s">
        <v>12</v>
      </c>
      <c r="D15" s="224">
        <v>44553</v>
      </c>
      <c r="E15" s="223" t="s">
        <v>11849</v>
      </c>
      <c r="F15" s="225" t="s">
        <v>11856</v>
      </c>
      <c r="G15" s="24"/>
    </row>
    <row r="16" spans="1:7" ht="90">
      <c r="A16" s="392"/>
      <c r="B16" s="222">
        <v>1.1000000000000001</v>
      </c>
      <c r="C16" s="223" t="s">
        <v>12</v>
      </c>
      <c r="D16" s="224">
        <v>44848</v>
      </c>
      <c r="E16" s="223" t="s">
        <v>11850</v>
      </c>
      <c r="F16" s="225" t="s">
        <v>11857</v>
      </c>
      <c r="G16" s="24"/>
    </row>
    <row r="17" spans="1:7" ht="56.25">
      <c r="A17" s="392"/>
      <c r="B17" s="222">
        <v>1.1100000000000001</v>
      </c>
      <c r="C17" s="223" t="s">
        <v>12</v>
      </c>
      <c r="D17" s="224">
        <v>44869</v>
      </c>
      <c r="E17" s="223" t="s">
        <v>11851</v>
      </c>
      <c r="F17" s="225" t="s">
        <v>11857</v>
      </c>
      <c r="G17" s="24"/>
    </row>
    <row r="18" spans="1:7" ht="56.25">
      <c r="A18" s="392"/>
      <c r="B18" s="222">
        <v>1.2</v>
      </c>
      <c r="C18" s="223" t="s">
        <v>12</v>
      </c>
      <c r="D18" s="224">
        <v>45058</v>
      </c>
      <c r="E18" s="223" t="s">
        <v>11900</v>
      </c>
      <c r="F18" s="225" t="s">
        <v>11858</v>
      </c>
      <c r="G18" s="24"/>
    </row>
    <row r="19" spans="1:7" ht="56.25">
      <c r="A19" s="392"/>
      <c r="B19" s="222">
        <v>1.3</v>
      </c>
      <c r="C19" s="223" t="s">
        <v>12</v>
      </c>
      <c r="D19" s="224">
        <v>45408</v>
      </c>
      <c r="E19" s="286" t="s">
        <v>19408</v>
      </c>
      <c r="F19" s="225" t="s">
        <v>11901</v>
      </c>
      <c r="G19" s="24"/>
    </row>
    <row r="20" spans="1:7" ht="56.25">
      <c r="A20" s="392"/>
      <c r="B20" s="291" t="s">
        <v>18067</v>
      </c>
      <c r="C20" s="223" t="s">
        <v>12</v>
      </c>
      <c r="D20" s="224">
        <v>45772</v>
      </c>
      <c r="E20" s="286" t="s">
        <v>18601</v>
      </c>
      <c r="F20" s="225" t="s">
        <v>18718</v>
      </c>
      <c r="G20" s="24"/>
    </row>
    <row r="21" spans="1:7" ht="78.75">
      <c r="A21" s="392"/>
      <c r="B21" s="291" t="s">
        <v>19500</v>
      </c>
      <c r="C21" s="223" t="s">
        <v>12</v>
      </c>
      <c r="D21" s="384">
        <v>45947</v>
      </c>
      <c r="E21" s="385" t="s">
        <v>19503</v>
      </c>
      <c r="F21" s="225" t="s">
        <v>19499</v>
      </c>
      <c r="G21" s="24"/>
    </row>
    <row r="22" spans="1:7" ht="78.75">
      <c r="A22" s="392"/>
      <c r="B22" s="291">
        <v>2.11</v>
      </c>
      <c r="C22" s="223" t="s">
        <v>12</v>
      </c>
      <c r="D22" s="384">
        <v>46129</v>
      </c>
      <c r="E22" s="385" t="s">
        <v>20351</v>
      </c>
      <c r="F22" s="225" t="s">
        <v>19546</v>
      </c>
      <c r="G22" s="24"/>
    </row>
    <row r="23" spans="1:7" ht="13.5" thickBot="1">
      <c r="A23" s="393"/>
      <c r="B23" s="397" t="str">
        <f ca="1">OFFSET(L!$C$1,MATCH("General"&amp;"Cpy",L!$A:$A,0)-1,SL,,)</f>
        <v>© 2026 Responsible Minerals Initiative. All rights reserved.</v>
      </c>
      <c r="C23" s="397"/>
      <c r="D23" s="397"/>
      <c r="E23" s="397"/>
      <c r="F23" s="397"/>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B29&amp;C29</f>
        <v>InstructionsA30</v>
      </c>
      <c r="B29" s="125" t="s">
        <v>355</v>
      </c>
      <c r="C29" s="125" t="s">
        <v>460</v>
      </c>
      <c r="D29" s="125" t="s">
        <v>18941</v>
      </c>
      <c r="E29" s="242" t="s">
        <v>18942</v>
      </c>
      <c r="F29" s="243" t="s">
        <v>19304</v>
      </c>
      <c r="G29" s="125" t="s">
        <v>18946</v>
      </c>
      <c r="H29" s="274" t="s">
        <v>18944</v>
      </c>
      <c r="I29" s="125" t="s">
        <v>18943</v>
      </c>
    </row>
    <row r="30" spans="1:9" ht="270.75">
      <c r="A30" s="125" t="str">
        <f>B30&amp;C30</f>
        <v>InstructionsA31</v>
      </c>
      <c r="B30" s="125" t="s">
        <v>355</v>
      </c>
      <c r="C30" s="125" t="s">
        <v>461</v>
      </c>
      <c r="D30" s="125" t="s">
        <v>18767</v>
      </c>
      <c r="E30" s="378" t="s">
        <v>19306</v>
      </c>
      <c r="F30" s="239" t="s">
        <v>19305</v>
      </c>
      <c r="G30" s="125" t="s">
        <v>19307</v>
      </c>
      <c r="H30" s="274" t="s">
        <v>19308</v>
      </c>
      <c r="I30" s="125" t="s">
        <v>19309</v>
      </c>
    </row>
    <row r="31" spans="1:9" ht="270.75">
      <c r="A31" s="125" t="str">
        <f>B31&amp;C31</f>
        <v>InstructionsA32</v>
      </c>
      <c r="B31" s="125" t="s">
        <v>355</v>
      </c>
      <c r="C31" s="125" t="s">
        <v>462</v>
      </c>
      <c r="D31" s="125" t="s">
        <v>18768</v>
      </c>
      <c r="E31" s="125" t="s">
        <v>19311</v>
      </c>
      <c r="F31" s="243" t="s">
        <v>19310</v>
      </c>
      <c r="G31" s="125" t="s">
        <v>19312</v>
      </c>
      <c r="H31" s="274" t="s">
        <v>19313</v>
      </c>
      <c r="I31" s="125" t="s">
        <v>19314</v>
      </c>
    </row>
    <row r="32" spans="1:9" ht="156.75">
      <c r="A32" s="125" t="str">
        <f>B32&amp;C32</f>
        <v>InstructionsA33</v>
      </c>
      <c r="B32" s="125" t="s">
        <v>355</v>
      </c>
      <c r="C32" s="125" t="s">
        <v>463</v>
      </c>
      <c r="D32" s="125" t="s">
        <v>18704</v>
      </c>
      <c r="E32" s="378" t="s">
        <v>18948</v>
      </c>
      <c r="F32" s="243" t="s">
        <v>19315</v>
      </c>
      <c r="G32" s="125" t="s">
        <v>18949</v>
      </c>
      <c r="H32" s="274" t="s">
        <v>18950</v>
      </c>
      <c r="I32" s="125" t="s">
        <v>18951</v>
      </c>
    </row>
    <row r="33" spans="1:9" ht="156.75">
      <c r="A33" s="125" t="str">
        <f>B33&amp;C33</f>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B61&amp;C61</f>
        <v>InstructionsA65</v>
      </c>
      <c r="B61" s="125" t="s">
        <v>355</v>
      </c>
      <c r="C61" s="125" t="s">
        <v>595</v>
      </c>
      <c r="D61" s="125" t="s">
        <v>18832</v>
      </c>
      <c r="E61" s="238" t="s">
        <v>18833</v>
      </c>
      <c r="F61" s="239" t="s">
        <v>18834</v>
      </c>
      <c r="G61" s="125" t="s">
        <v>18835</v>
      </c>
      <c r="H61" s="274" t="s">
        <v>18836</v>
      </c>
      <c r="I61" s="125" t="s">
        <v>18837</v>
      </c>
    </row>
    <row r="62" spans="1:9" ht="85.5">
      <c r="A62" s="125" t="str">
        <f>B62&amp;C62</f>
        <v>InstructionsA66</v>
      </c>
      <c r="B62" s="125" t="s">
        <v>355</v>
      </c>
      <c r="C62" s="125" t="s">
        <v>18910</v>
      </c>
      <c r="D62" s="125" t="s">
        <v>19321</v>
      </c>
      <c r="E62" s="238" t="s">
        <v>19323</v>
      </c>
      <c r="F62" s="239" t="s">
        <v>19322</v>
      </c>
      <c r="G62" s="125" t="s">
        <v>19324</v>
      </c>
      <c r="H62" s="274" t="s">
        <v>19325</v>
      </c>
      <c r="I62" s="125" t="s">
        <v>19326</v>
      </c>
    </row>
    <row r="63" spans="1:9" ht="71.25">
      <c r="A63" s="125" t="str">
        <f>B63&amp;C63</f>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1">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1"/>
        <v>InstructionsA69</v>
      </c>
      <c r="B65" s="125" t="s">
        <v>355</v>
      </c>
      <c r="C65" s="125" t="s">
        <v>613</v>
      </c>
      <c r="D65" s="125" t="s">
        <v>18850</v>
      </c>
      <c r="E65" s="238" t="s">
        <v>18851</v>
      </c>
      <c r="F65" s="239" t="s">
        <v>18852</v>
      </c>
      <c r="G65" s="125" t="s">
        <v>18853</v>
      </c>
      <c r="H65" s="274" t="s">
        <v>18854</v>
      </c>
      <c r="I65" s="125" t="s">
        <v>18855</v>
      </c>
    </row>
    <row r="66" spans="1:9" ht="42.75">
      <c r="A66" s="125" t="str">
        <f t="shared" si="1"/>
        <v>InstructionsA70</v>
      </c>
      <c r="B66" s="125" t="s">
        <v>355</v>
      </c>
      <c r="C66" s="125" t="s">
        <v>619</v>
      </c>
      <c r="D66" s="125" t="s">
        <v>18856</v>
      </c>
      <c r="E66" s="238" t="s">
        <v>18857</v>
      </c>
      <c r="F66" s="239" t="s">
        <v>18858</v>
      </c>
      <c r="G66" s="125" t="s">
        <v>18859</v>
      </c>
      <c r="H66" s="274" t="s">
        <v>18860</v>
      </c>
      <c r="I66" s="125" t="s">
        <v>18861</v>
      </c>
    </row>
    <row r="67" spans="1:9" ht="42.75">
      <c r="A67" s="125" t="str">
        <f t="shared" si="1"/>
        <v>InstructionsA71</v>
      </c>
      <c r="B67" s="125" t="s">
        <v>355</v>
      </c>
      <c r="C67" s="125" t="s">
        <v>625</v>
      </c>
      <c r="D67" s="125" t="s">
        <v>18862</v>
      </c>
      <c r="E67" s="238" t="s">
        <v>18863</v>
      </c>
      <c r="F67" s="239" t="s">
        <v>18864</v>
      </c>
      <c r="G67" s="125" t="s">
        <v>18865</v>
      </c>
      <c r="H67" s="274" t="s">
        <v>18866</v>
      </c>
      <c r="I67" s="125" t="s">
        <v>18867</v>
      </c>
    </row>
    <row r="68" spans="1:9" ht="42.75">
      <c r="A68" s="125" t="str">
        <f t="shared" si="1"/>
        <v>InstructionsA72</v>
      </c>
      <c r="B68" s="125" t="s">
        <v>355</v>
      </c>
      <c r="C68" s="125" t="s">
        <v>631</v>
      </c>
      <c r="D68" s="125" t="s">
        <v>18868</v>
      </c>
      <c r="E68" s="238" t="s">
        <v>18869</v>
      </c>
      <c r="F68" s="239" t="s">
        <v>18870</v>
      </c>
      <c r="G68" s="125" t="s">
        <v>18871</v>
      </c>
      <c r="H68" s="274" t="s">
        <v>18872</v>
      </c>
      <c r="I68" s="125" t="s">
        <v>18873</v>
      </c>
    </row>
    <row r="69" spans="1:9" ht="42.75">
      <c r="A69" s="125" t="str">
        <f t="shared" si="1"/>
        <v>InstructionsA73</v>
      </c>
      <c r="B69" s="125" t="s">
        <v>355</v>
      </c>
      <c r="C69" s="125" t="s">
        <v>637</v>
      </c>
      <c r="D69" s="125" t="s">
        <v>18874</v>
      </c>
      <c r="E69" s="238" t="s">
        <v>18875</v>
      </c>
      <c r="F69" s="239" t="s">
        <v>18876</v>
      </c>
      <c r="G69" s="125" t="s">
        <v>18877</v>
      </c>
      <c r="H69" s="274" t="s">
        <v>18878</v>
      </c>
      <c r="I69" s="125" t="s">
        <v>18879</v>
      </c>
    </row>
    <row r="70" spans="1:9" ht="71.25">
      <c r="A70" s="125" t="str">
        <f t="shared" si="1"/>
        <v>InstructionsA74</v>
      </c>
      <c r="B70" s="125" t="s">
        <v>355</v>
      </c>
      <c r="C70" s="125" t="s">
        <v>18911</v>
      </c>
      <c r="D70" s="125" t="s">
        <v>18880</v>
      </c>
      <c r="E70" s="238" t="s">
        <v>18881</v>
      </c>
      <c r="F70" s="239" t="s">
        <v>18882</v>
      </c>
      <c r="G70" s="125" t="s">
        <v>18883</v>
      </c>
      <c r="H70" s="274" t="s">
        <v>18884</v>
      </c>
      <c r="I70" s="125" t="s">
        <v>18885</v>
      </c>
    </row>
    <row r="71" spans="1:9" ht="242.25">
      <c r="A71" s="125" t="str">
        <f t="shared" si="1"/>
        <v>InstructionsA75</v>
      </c>
      <c r="B71" s="125" t="s">
        <v>355</v>
      </c>
      <c r="C71" s="125" t="s">
        <v>18912</v>
      </c>
      <c r="D71" s="125" t="s">
        <v>18886</v>
      </c>
      <c r="E71" s="238" t="s">
        <v>18887</v>
      </c>
      <c r="F71" s="239" t="s">
        <v>18888</v>
      </c>
      <c r="G71" s="125" t="s">
        <v>18889</v>
      </c>
      <c r="H71" s="274" t="s">
        <v>18890</v>
      </c>
      <c r="I71" s="125" t="s">
        <v>18891</v>
      </c>
    </row>
    <row r="72" spans="1:9" ht="85.5">
      <c r="A72" s="125" t="str">
        <f t="shared" si="1"/>
        <v>InstructionsA76</v>
      </c>
      <c r="B72" s="125" t="s">
        <v>355</v>
      </c>
      <c r="C72" s="125" t="s">
        <v>18913</v>
      </c>
      <c r="D72" s="125" t="s">
        <v>18892</v>
      </c>
      <c r="E72" s="238" t="s">
        <v>18893</v>
      </c>
      <c r="F72" s="239" t="s">
        <v>18894</v>
      </c>
      <c r="G72" s="125" t="s">
        <v>18895</v>
      </c>
      <c r="H72" s="274" t="s">
        <v>18896</v>
      </c>
      <c r="I72" s="125" t="s">
        <v>18897</v>
      </c>
    </row>
    <row r="73" spans="1:9" ht="142.5">
      <c r="A73" s="125" t="str">
        <f t="shared" si="1"/>
        <v>InstructionsA77</v>
      </c>
      <c r="B73" s="125" t="s">
        <v>355</v>
      </c>
      <c r="C73" s="125" t="s">
        <v>18914</v>
      </c>
      <c r="D73" s="125" t="s">
        <v>18898</v>
      </c>
      <c r="E73" s="238" t="s">
        <v>18899</v>
      </c>
      <c r="F73" s="239" t="s">
        <v>18900</v>
      </c>
      <c r="G73" s="125" t="s">
        <v>18901</v>
      </c>
      <c r="H73" s="274" t="s">
        <v>18902</v>
      </c>
      <c r="I73" s="125" t="s">
        <v>18903</v>
      </c>
    </row>
    <row r="74" spans="1:9" ht="42.75">
      <c r="A74" s="125" t="str">
        <f t="shared" si="1"/>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2">B87&amp;C87</f>
        <v>DefinitionsB6</v>
      </c>
      <c r="B87" s="125" t="s">
        <v>643</v>
      </c>
      <c r="C87" s="125" t="s">
        <v>667</v>
      </c>
      <c r="D87" s="244" t="s">
        <v>18748</v>
      </c>
      <c r="E87" s="244" t="s">
        <v>18978</v>
      </c>
      <c r="F87" s="244" t="s">
        <v>19327</v>
      </c>
      <c r="G87" s="244" t="s">
        <v>18979</v>
      </c>
      <c r="H87" s="244" t="s">
        <v>18981</v>
      </c>
      <c r="I87" s="244" t="s">
        <v>18980</v>
      </c>
    </row>
    <row r="88" spans="1:9">
      <c r="A88" s="125" t="str">
        <f t="shared" si="2"/>
        <v>DefinitionsB7</v>
      </c>
      <c r="B88" s="125" t="s">
        <v>643</v>
      </c>
      <c r="C88" s="125" t="s">
        <v>673</v>
      </c>
      <c r="D88" s="125" t="s">
        <v>668</v>
      </c>
      <c r="E88" s="238" t="s">
        <v>669</v>
      </c>
      <c r="F88" s="239" t="s">
        <v>670</v>
      </c>
      <c r="G88" s="125" t="s">
        <v>671</v>
      </c>
      <c r="H88" s="274" t="s">
        <v>672</v>
      </c>
      <c r="I88" s="187" t="s">
        <v>17948</v>
      </c>
    </row>
    <row r="89" spans="1:9">
      <c r="A89" s="125" t="str">
        <f t="shared" si="2"/>
        <v>DefinitionsB8</v>
      </c>
      <c r="B89" s="125" t="s">
        <v>643</v>
      </c>
      <c r="C89" s="125" t="s">
        <v>679</v>
      </c>
      <c r="D89" s="125" t="s">
        <v>674</v>
      </c>
      <c r="E89" s="238" t="s">
        <v>675</v>
      </c>
      <c r="F89" s="239" t="s">
        <v>676</v>
      </c>
      <c r="G89" s="125" t="s">
        <v>677</v>
      </c>
      <c r="H89" s="274" t="s">
        <v>678</v>
      </c>
      <c r="I89" s="187" t="s">
        <v>17968</v>
      </c>
    </row>
    <row r="90" spans="1:9">
      <c r="A90" s="125" t="str">
        <f>B90&amp;C90</f>
        <v>DefinitionsB9</v>
      </c>
      <c r="B90" s="125" t="s">
        <v>643</v>
      </c>
      <c r="C90" s="125" t="s">
        <v>685</v>
      </c>
      <c r="D90" s="371" t="s">
        <v>19291</v>
      </c>
      <c r="E90" s="371" t="s">
        <v>18990</v>
      </c>
      <c r="F90" s="371" t="s">
        <v>18991</v>
      </c>
      <c r="G90" s="371" t="s">
        <v>18992</v>
      </c>
      <c r="H90" s="371" t="s">
        <v>18993</v>
      </c>
      <c r="I90" s="371" t="s">
        <v>18994</v>
      </c>
    </row>
    <row r="91" spans="1:9">
      <c r="A91" s="125" t="str">
        <f>B91&amp;C91</f>
        <v>DefinitionsB10</v>
      </c>
      <c r="B91" s="125" t="s">
        <v>643</v>
      </c>
      <c r="C91" s="125" t="s">
        <v>690</v>
      </c>
      <c r="D91" s="244" t="s">
        <v>18809</v>
      </c>
      <c r="E91" s="244" t="s">
        <v>18982</v>
      </c>
      <c r="F91" s="244" t="s">
        <v>19328</v>
      </c>
      <c r="G91" s="244" t="s">
        <v>18983</v>
      </c>
      <c r="H91" s="244" t="s">
        <v>18985</v>
      </c>
      <c r="I91" s="244" t="s">
        <v>18984</v>
      </c>
    </row>
    <row r="92" spans="1:9">
      <c r="A92" s="125" t="str">
        <f t="shared" si="2"/>
        <v>DefinitionsB11</v>
      </c>
      <c r="B92" s="125" t="s">
        <v>643</v>
      </c>
      <c r="C92" s="125" t="s">
        <v>695</v>
      </c>
      <c r="D92" s="125" t="s">
        <v>680</v>
      </c>
      <c r="E92" s="238" t="s">
        <v>681</v>
      </c>
      <c r="F92" s="239" t="s">
        <v>682</v>
      </c>
      <c r="G92" s="125" t="s">
        <v>683</v>
      </c>
      <c r="H92" s="274" t="s">
        <v>684</v>
      </c>
      <c r="I92" s="187" t="s">
        <v>17949</v>
      </c>
    </row>
    <row r="93" spans="1:9">
      <c r="A93" s="125" t="str">
        <f t="shared" si="2"/>
        <v>DefinitionsB12</v>
      </c>
      <c r="B93" s="125" t="s">
        <v>643</v>
      </c>
      <c r="C93" s="125" t="s">
        <v>701</v>
      </c>
      <c r="D93" s="125" t="s">
        <v>686</v>
      </c>
      <c r="E93" s="238" t="s">
        <v>687</v>
      </c>
      <c r="F93" s="239" t="s">
        <v>19390</v>
      </c>
      <c r="G93" s="125" t="s">
        <v>688</v>
      </c>
      <c r="H93" s="274" t="s">
        <v>689</v>
      </c>
      <c r="I93" s="187" t="s">
        <v>17950</v>
      </c>
    </row>
    <row r="94" spans="1:9">
      <c r="A94" s="125" t="str">
        <f t="shared" si="2"/>
        <v>DefinitionsB13</v>
      </c>
      <c r="B94" s="125" t="s">
        <v>643</v>
      </c>
      <c r="C94" s="125" t="s">
        <v>706</v>
      </c>
      <c r="D94" s="244" t="s">
        <v>18747</v>
      </c>
      <c r="E94" s="244" t="s">
        <v>18986</v>
      </c>
      <c r="F94" s="244" t="s">
        <v>19329</v>
      </c>
      <c r="G94" s="244" t="s">
        <v>18987</v>
      </c>
      <c r="H94" s="244" t="s">
        <v>18988</v>
      </c>
      <c r="I94" s="244" t="s">
        <v>18989</v>
      </c>
    </row>
    <row r="95" spans="1:9">
      <c r="A95" s="125" t="str">
        <f t="shared" si="2"/>
        <v>DefinitionsB14</v>
      </c>
      <c r="B95" s="125" t="s">
        <v>643</v>
      </c>
      <c r="C95" s="125" t="s">
        <v>712</v>
      </c>
      <c r="D95" s="125" t="s">
        <v>691</v>
      </c>
      <c r="E95" s="238" t="s">
        <v>692</v>
      </c>
      <c r="F95" s="239" t="s">
        <v>693</v>
      </c>
      <c r="G95" s="125" t="s">
        <v>691</v>
      </c>
      <c r="H95" s="274" t="s">
        <v>694</v>
      </c>
      <c r="I95" s="187" t="s">
        <v>691</v>
      </c>
    </row>
    <row r="96" spans="1:9">
      <c r="A96" s="125" t="str">
        <f t="shared" si="2"/>
        <v>DefinitionsB15</v>
      </c>
      <c r="B96" s="125" t="s">
        <v>643</v>
      </c>
      <c r="C96" s="125" t="s">
        <v>718</v>
      </c>
      <c r="D96" s="244" t="s">
        <v>696</v>
      </c>
      <c r="E96" s="244" t="s">
        <v>697</v>
      </c>
      <c r="F96" s="252" t="s">
        <v>698</v>
      </c>
      <c r="G96" s="253" t="s">
        <v>699</v>
      </c>
      <c r="H96" s="274" t="s">
        <v>700</v>
      </c>
      <c r="I96" s="187" t="s">
        <v>17958</v>
      </c>
    </row>
    <row r="97" spans="1:9">
      <c r="A97" s="125" t="str">
        <f t="shared" si="2"/>
        <v>DefinitionsB16</v>
      </c>
      <c r="B97" s="125" t="s">
        <v>643</v>
      </c>
      <c r="C97" s="125" t="s">
        <v>724</v>
      </c>
      <c r="D97" s="244" t="s">
        <v>702</v>
      </c>
      <c r="E97" s="244" t="s">
        <v>703</v>
      </c>
      <c r="F97" s="252" t="s">
        <v>704</v>
      </c>
      <c r="G97" s="254" t="s">
        <v>705</v>
      </c>
      <c r="H97" s="274" t="s">
        <v>17956</v>
      </c>
      <c r="I97" s="187" t="s">
        <v>17959</v>
      </c>
    </row>
    <row r="98" spans="1:9">
      <c r="A98" s="125" t="str">
        <f t="shared" si="2"/>
        <v>DefinitionsB17</v>
      </c>
      <c r="B98" s="125" t="s">
        <v>643</v>
      </c>
      <c r="C98" s="125" t="s">
        <v>727</v>
      </c>
      <c r="D98" s="244" t="s">
        <v>19287</v>
      </c>
      <c r="E98" s="244" t="s">
        <v>19288</v>
      </c>
      <c r="F98" s="252" t="s">
        <v>19299</v>
      </c>
      <c r="G98" s="254" t="s">
        <v>19289</v>
      </c>
      <c r="H98" s="278" t="s">
        <v>19300</v>
      </c>
      <c r="I98" s="244" t="s">
        <v>19290</v>
      </c>
    </row>
    <row r="99" spans="1:9">
      <c r="A99" s="125" t="str">
        <f t="shared" si="2"/>
        <v>DefinitionsB18</v>
      </c>
      <c r="B99" s="125" t="s">
        <v>643</v>
      </c>
      <c r="C99" s="125" t="s">
        <v>733</v>
      </c>
      <c r="D99" s="244" t="s">
        <v>18749</v>
      </c>
      <c r="E99" s="244" t="s">
        <v>18995</v>
      </c>
      <c r="F99" s="244" t="s">
        <v>19392</v>
      </c>
      <c r="G99" s="244" t="s">
        <v>18996</v>
      </c>
      <c r="H99" s="244" t="s">
        <v>18997</v>
      </c>
      <c r="I99" s="244" t="s">
        <v>18998</v>
      </c>
    </row>
    <row r="100" spans="1:9">
      <c r="A100" s="125" t="str">
        <f t="shared" si="2"/>
        <v>DefinitionsB19</v>
      </c>
      <c r="B100" s="125" t="s">
        <v>643</v>
      </c>
      <c r="C100" s="125" t="s">
        <v>739</v>
      </c>
      <c r="D100" s="244" t="s">
        <v>707</v>
      </c>
      <c r="E100" s="244" t="s">
        <v>708</v>
      </c>
      <c r="F100" s="251" t="s">
        <v>709</v>
      </c>
      <c r="G100" s="254" t="s">
        <v>710</v>
      </c>
      <c r="H100" s="274" t="s">
        <v>711</v>
      </c>
      <c r="I100" s="187" t="s">
        <v>17957</v>
      </c>
    </row>
    <row r="101" spans="1:9">
      <c r="A101" s="125" t="str">
        <f t="shared" si="2"/>
        <v>DefinitionsB20</v>
      </c>
      <c r="B101" s="125" t="s">
        <v>643</v>
      </c>
      <c r="C101" s="125" t="s">
        <v>745</v>
      </c>
      <c r="D101" s="125" t="s">
        <v>713</v>
      </c>
      <c r="E101" s="238" t="s">
        <v>714</v>
      </c>
      <c r="F101" s="239" t="s">
        <v>715</v>
      </c>
      <c r="G101" s="125" t="s">
        <v>716</v>
      </c>
      <c r="H101" s="274" t="s">
        <v>717</v>
      </c>
      <c r="I101" s="187" t="s">
        <v>17951</v>
      </c>
    </row>
    <row r="102" spans="1:9" ht="27">
      <c r="A102" s="125" t="str">
        <f t="shared" si="2"/>
        <v>DefinitionsB21</v>
      </c>
      <c r="B102" s="125" t="s">
        <v>643</v>
      </c>
      <c r="C102" s="125" t="s">
        <v>751</v>
      </c>
      <c r="D102" s="125" t="s">
        <v>719</v>
      </c>
      <c r="E102" s="238" t="s">
        <v>720</v>
      </c>
      <c r="F102" s="239" t="s">
        <v>721</v>
      </c>
      <c r="G102" s="125" t="s">
        <v>722</v>
      </c>
      <c r="H102" s="274" t="s">
        <v>723</v>
      </c>
      <c r="I102" s="187" t="s">
        <v>17952</v>
      </c>
    </row>
    <row r="103" spans="1:9">
      <c r="A103" s="125" t="str">
        <f t="shared" si="2"/>
        <v>DefinitionsB22</v>
      </c>
      <c r="B103" s="125" t="s">
        <v>643</v>
      </c>
      <c r="C103" s="125" t="s">
        <v>18743</v>
      </c>
      <c r="D103" s="125" t="s">
        <v>725</v>
      </c>
      <c r="E103" s="238" t="s">
        <v>726</v>
      </c>
      <c r="F103" s="239" t="s">
        <v>725</v>
      </c>
      <c r="G103" s="125" t="s">
        <v>725</v>
      </c>
      <c r="H103" s="274" t="s">
        <v>725</v>
      </c>
      <c r="I103" s="274" t="s">
        <v>725</v>
      </c>
    </row>
    <row r="104" spans="1:9" ht="27">
      <c r="A104" s="125" t="str">
        <f t="shared" si="2"/>
        <v>DefinitionsB23</v>
      </c>
      <c r="B104" s="125" t="s">
        <v>643</v>
      </c>
      <c r="C104" s="125" t="s">
        <v>18744</v>
      </c>
      <c r="D104" s="125" t="s">
        <v>728</v>
      </c>
      <c r="E104" s="238" t="s">
        <v>729</v>
      </c>
      <c r="F104" s="239" t="s">
        <v>730</v>
      </c>
      <c r="G104" s="125" t="s">
        <v>731</v>
      </c>
      <c r="H104" s="274" t="s">
        <v>732</v>
      </c>
      <c r="I104" s="187" t="s">
        <v>728</v>
      </c>
    </row>
    <row r="105" spans="1:9">
      <c r="A105" s="125" t="str">
        <f t="shared" si="2"/>
        <v>DefinitionsB24</v>
      </c>
      <c r="B105" s="125" t="s">
        <v>643</v>
      </c>
      <c r="C105" s="125" t="s">
        <v>18745</v>
      </c>
      <c r="D105" s="125" t="s">
        <v>734</v>
      </c>
      <c r="E105" s="238" t="s">
        <v>735</v>
      </c>
      <c r="F105" s="239" t="s">
        <v>736</v>
      </c>
      <c r="G105" s="125" t="s">
        <v>737</v>
      </c>
      <c r="H105" s="274" t="s">
        <v>738</v>
      </c>
      <c r="I105" s="187" t="s">
        <v>17953</v>
      </c>
    </row>
    <row r="106" spans="1:9">
      <c r="A106" s="125" t="str">
        <f t="shared" si="2"/>
        <v>DefinitionsB25</v>
      </c>
      <c r="B106" s="125" t="s">
        <v>643</v>
      </c>
      <c r="C106" s="125" t="s">
        <v>18746</v>
      </c>
      <c r="D106" s="125" t="s">
        <v>740</v>
      </c>
      <c r="E106" s="238" t="s">
        <v>741</v>
      </c>
      <c r="F106" s="239" t="s">
        <v>742</v>
      </c>
      <c r="G106" s="125" t="s">
        <v>743</v>
      </c>
      <c r="H106" s="274" t="s">
        <v>744</v>
      </c>
      <c r="I106" s="187" t="s">
        <v>17960</v>
      </c>
    </row>
    <row r="107" spans="1:9">
      <c r="A107" s="125" t="str">
        <f t="shared" si="2"/>
        <v>DefinitionsB26</v>
      </c>
      <c r="B107" s="125" t="s">
        <v>643</v>
      </c>
      <c r="C107" s="125" t="s">
        <v>18758</v>
      </c>
      <c r="D107" s="125" t="s">
        <v>746</v>
      </c>
      <c r="E107" s="238" t="s">
        <v>747</v>
      </c>
      <c r="F107" s="239" t="s">
        <v>748</v>
      </c>
      <c r="G107" s="125" t="s">
        <v>749</v>
      </c>
      <c r="H107" s="274" t="s">
        <v>750</v>
      </c>
      <c r="I107" s="187" t="s">
        <v>17954</v>
      </c>
    </row>
    <row r="108" spans="1:9">
      <c r="A108" s="125" t="str">
        <f t="shared" si="2"/>
        <v>DefinitionsB27</v>
      </c>
      <c r="B108" s="125" t="s">
        <v>643</v>
      </c>
      <c r="C108" s="125" t="s">
        <v>18808</v>
      </c>
      <c r="D108" s="125" t="s">
        <v>752</v>
      </c>
      <c r="E108" s="238" t="s">
        <v>753</v>
      </c>
      <c r="F108" s="239" t="s">
        <v>754</v>
      </c>
      <c r="G108" s="125" t="s">
        <v>755</v>
      </c>
      <c r="H108" s="274" t="s">
        <v>756</v>
      </c>
      <c r="I108" s="187" t="s">
        <v>17955</v>
      </c>
    </row>
    <row r="109" spans="1:9" ht="42.75">
      <c r="A109" s="125" t="str">
        <f t="shared" si="2"/>
        <v>DefinitionsB28</v>
      </c>
      <c r="B109" s="125" t="s">
        <v>643</v>
      </c>
      <c r="C109" s="125" t="s">
        <v>19292</v>
      </c>
      <c r="D109" s="125" t="s">
        <v>18759</v>
      </c>
      <c r="E109" s="125" t="s">
        <v>18803</v>
      </c>
      <c r="F109" s="125" t="s">
        <v>18804</v>
      </c>
      <c r="G109" s="125" t="s">
        <v>18805</v>
      </c>
      <c r="H109" s="125" t="s">
        <v>18806</v>
      </c>
      <c r="I109" s="125" t="s">
        <v>18807</v>
      </c>
    </row>
    <row r="110" spans="1:9">
      <c r="A110" s="125" t="str">
        <f t="shared" si="2"/>
        <v>DefinitionsC2</v>
      </c>
      <c r="B110" s="125" t="s">
        <v>643</v>
      </c>
      <c r="C110" s="125" t="s">
        <v>757</v>
      </c>
      <c r="D110" s="125" t="s">
        <v>758</v>
      </c>
      <c r="E110" s="255" t="s">
        <v>759</v>
      </c>
      <c r="F110" s="239" t="s">
        <v>760</v>
      </c>
      <c r="G110" s="125" t="s">
        <v>761</v>
      </c>
      <c r="H110" s="274" t="s">
        <v>762</v>
      </c>
      <c r="I110" s="187" t="s">
        <v>17964</v>
      </c>
    </row>
    <row r="111" spans="1:9" ht="85.5">
      <c r="A111" s="125" t="str">
        <f t="shared" si="2"/>
        <v>DefinitionsC3</v>
      </c>
      <c r="B111" s="125" t="s">
        <v>643</v>
      </c>
      <c r="C111" s="125" t="s">
        <v>763</v>
      </c>
      <c r="D111" s="125" t="s">
        <v>764</v>
      </c>
      <c r="E111" s="238" t="s">
        <v>765</v>
      </c>
      <c r="F111" s="239" t="s">
        <v>766</v>
      </c>
      <c r="G111" s="125" t="s">
        <v>767</v>
      </c>
      <c r="H111" s="274" t="s">
        <v>768</v>
      </c>
      <c r="I111" s="125" t="s">
        <v>17965</v>
      </c>
    </row>
    <row r="112" spans="1:9" ht="71.25">
      <c r="A112" s="125" t="str">
        <f t="shared" si="2"/>
        <v>DefinitionsC4</v>
      </c>
      <c r="B112" s="125" t="s">
        <v>643</v>
      </c>
      <c r="C112" s="125" t="s">
        <v>769</v>
      </c>
      <c r="D112" s="125" t="s">
        <v>770</v>
      </c>
      <c r="E112" s="242" t="s">
        <v>771</v>
      </c>
      <c r="F112" s="239" t="s">
        <v>772</v>
      </c>
      <c r="G112" s="246" t="s">
        <v>773</v>
      </c>
      <c r="H112" s="274" t="s">
        <v>774</v>
      </c>
      <c r="I112" s="287" t="s">
        <v>17961</v>
      </c>
    </row>
    <row r="113" spans="1:9" ht="213.75">
      <c r="A113" s="125" t="str">
        <f t="shared" si="2"/>
        <v>DefinitionsC5</v>
      </c>
      <c r="B113" s="125" t="s">
        <v>643</v>
      </c>
      <c r="C113" s="125" t="s">
        <v>775</v>
      </c>
      <c r="D113" s="125" t="s">
        <v>776</v>
      </c>
      <c r="E113" s="238" t="s">
        <v>777</v>
      </c>
      <c r="F113" s="239" t="s">
        <v>778</v>
      </c>
      <c r="G113" s="125" t="s">
        <v>779</v>
      </c>
      <c r="H113" s="274" t="s">
        <v>780</v>
      </c>
      <c r="I113" s="125" t="s">
        <v>17966</v>
      </c>
    </row>
    <row r="114" spans="1:9" ht="128.25">
      <c r="A114" s="125" t="str">
        <f t="shared" si="2"/>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2"/>
        <v>DefinitionsC7</v>
      </c>
      <c r="B115" s="125" t="s">
        <v>643</v>
      </c>
      <c r="C115" s="125" t="s">
        <v>787</v>
      </c>
      <c r="D115" s="125" t="s">
        <v>782</v>
      </c>
      <c r="E115" s="238" t="s">
        <v>783</v>
      </c>
      <c r="F115" s="239" t="s">
        <v>784</v>
      </c>
      <c r="G115" s="125" t="s">
        <v>785</v>
      </c>
      <c r="H115" s="274" t="s">
        <v>786</v>
      </c>
      <c r="I115" s="125" t="s">
        <v>17967</v>
      </c>
    </row>
    <row r="116" spans="1:9" ht="156.75">
      <c r="A116" s="125" t="str">
        <f t="shared" si="2"/>
        <v>DefinitionsC8</v>
      </c>
      <c r="B116" s="125" t="s">
        <v>643</v>
      </c>
      <c r="C116" s="125" t="s">
        <v>793</v>
      </c>
      <c r="D116" s="125" t="s">
        <v>788</v>
      </c>
      <c r="E116" s="238" t="s">
        <v>789</v>
      </c>
      <c r="F116" s="239" t="s">
        <v>790</v>
      </c>
      <c r="G116" s="125" t="s">
        <v>791</v>
      </c>
      <c r="H116" s="274" t="s">
        <v>792</v>
      </c>
      <c r="I116" s="125" t="s">
        <v>17970</v>
      </c>
    </row>
    <row r="117" spans="1:9" ht="128.25">
      <c r="A117" s="125" t="str">
        <f t="shared" si="2"/>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2"/>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2"/>
        <v>DefinitionsC11</v>
      </c>
      <c r="B119" s="125" t="s">
        <v>643</v>
      </c>
      <c r="C119" s="125" t="s">
        <v>806</v>
      </c>
      <c r="D119" s="125" t="s">
        <v>794</v>
      </c>
      <c r="E119" s="238" t="s">
        <v>795</v>
      </c>
      <c r="F119" s="239" t="s">
        <v>796</v>
      </c>
      <c r="G119" s="125" t="s">
        <v>797</v>
      </c>
      <c r="H119" s="274" t="s">
        <v>798</v>
      </c>
      <c r="I119" s="125" t="s">
        <v>17969</v>
      </c>
    </row>
    <row r="120" spans="1:9" ht="71.25">
      <c r="A120" s="125" t="str">
        <f t="shared" si="2"/>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2"/>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2"/>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2"/>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2"/>
        <v>DefinitionsC16</v>
      </c>
      <c r="B124" s="125" t="s">
        <v>643</v>
      </c>
      <c r="C124" s="125" t="s">
        <v>826</v>
      </c>
      <c r="D124" s="244" t="s">
        <v>813</v>
      </c>
      <c r="E124" s="245" t="s">
        <v>814</v>
      </c>
      <c r="F124" s="251" t="s">
        <v>815</v>
      </c>
      <c r="G124" s="254" t="s">
        <v>816</v>
      </c>
      <c r="H124" s="274" t="s">
        <v>817</v>
      </c>
      <c r="I124" s="125" t="s">
        <v>17963</v>
      </c>
    </row>
    <row r="125" spans="1:9" ht="156.75">
      <c r="A125" s="125" t="str">
        <f t="shared" si="2"/>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2"/>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2"/>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2"/>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2"/>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2"/>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2"/>
        <v>DefinitionsC24</v>
      </c>
      <c r="B132" s="125" t="s">
        <v>643</v>
      </c>
      <c r="C132" s="125" t="s">
        <v>18752</v>
      </c>
      <c r="D132" s="125" t="s">
        <v>834</v>
      </c>
      <c r="E132" s="238" t="s">
        <v>835</v>
      </c>
      <c r="F132" s="239" t="s">
        <v>836</v>
      </c>
      <c r="G132" s="125" t="s">
        <v>837</v>
      </c>
      <c r="H132" s="274" t="s">
        <v>838</v>
      </c>
      <c r="I132" s="125" t="s">
        <v>17975</v>
      </c>
    </row>
    <row r="133" spans="1:9" ht="270.75">
      <c r="A133" s="125" t="str">
        <f t="shared" si="2"/>
        <v>DefinitionsC25</v>
      </c>
      <c r="B133" s="125" t="s">
        <v>643</v>
      </c>
      <c r="C133" s="125" t="s">
        <v>18753</v>
      </c>
      <c r="D133" s="125" t="s">
        <v>840</v>
      </c>
      <c r="E133" s="238" t="s">
        <v>841</v>
      </c>
      <c r="F133" s="239" t="s">
        <v>842</v>
      </c>
      <c r="G133" s="246" t="s">
        <v>843</v>
      </c>
      <c r="H133" s="274" t="s">
        <v>844</v>
      </c>
      <c r="I133" s="125" t="s">
        <v>17976</v>
      </c>
    </row>
    <row r="134" spans="1:9" ht="142.5">
      <c r="A134" s="125" t="str">
        <f t="shared" si="2"/>
        <v>DefinitionsC26</v>
      </c>
      <c r="B134" s="125" t="s">
        <v>643</v>
      </c>
      <c r="C134" s="125" t="s">
        <v>18815</v>
      </c>
      <c r="D134" s="244" t="s">
        <v>846</v>
      </c>
      <c r="E134" s="245" t="s">
        <v>847</v>
      </c>
      <c r="F134" s="252" t="s">
        <v>848</v>
      </c>
      <c r="G134" s="253" t="s">
        <v>849</v>
      </c>
      <c r="H134" s="274" t="s">
        <v>850</v>
      </c>
      <c r="I134" s="125" t="s">
        <v>17977</v>
      </c>
    </row>
    <row r="135" spans="1:9" ht="99.75">
      <c r="A135" s="125" t="str">
        <f t="shared" si="2"/>
        <v>DefinitionsC27</v>
      </c>
      <c r="B135" s="125" t="s">
        <v>643</v>
      </c>
      <c r="C135" s="125" t="s">
        <v>19301</v>
      </c>
      <c r="D135" s="125" t="s">
        <v>852</v>
      </c>
      <c r="E135" s="238" t="s">
        <v>853</v>
      </c>
      <c r="F135" s="239" t="s">
        <v>854</v>
      </c>
      <c r="G135" s="125" t="s">
        <v>855</v>
      </c>
      <c r="H135" s="274" t="s">
        <v>856</v>
      </c>
      <c r="I135" s="125" t="s">
        <v>17978</v>
      </c>
    </row>
    <row r="136" spans="1:9" ht="28.5">
      <c r="A136" s="125" t="str">
        <f t="shared" si="2"/>
        <v>DeclarationD2</v>
      </c>
      <c r="B136" s="125" t="s">
        <v>857</v>
      </c>
      <c r="C136" s="125" t="s">
        <v>858</v>
      </c>
      <c r="D136" s="244" t="s">
        <v>19526</v>
      </c>
      <c r="E136" s="244" t="s">
        <v>859</v>
      </c>
      <c r="F136" s="251" t="s">
        <v>860</v>
      </c>
      <c r="G136" s="256" t="s">
        <v>861</v>
      </c>
      <c r="H136" s="274" t="s">
        <v>862</v>
      </c>
      <c r="I136" s="187" t="s">
        <v>17980</v>
      </c>
    </row>
    <row r="137" spans="1:9" ht="28.5">
      <c r="A137" s="125" t="str">
        <f t="shared" si="2"/>
        <v>DeclarationF3</v>
      </c>
      <c r="B137" s="125" t="s">
        <v>857</v>
      </c>
      <c r="C137" s="125" t="s">
        <v>863</v>
      </c>
      <c r="D137" s="125" t="s">
        <v>864</v>
      </c>
      <c r="E137" s="238" t="s">
        <v>865</v>
      </c>
      <c r="F137" s="239" t="s">
        <v>866</v>
      </c>
      <c r="G137" s="125" t="s">
        <v>867</v>
      </c>
      <c r="H137" s="274" t="s">
        <v>868</v>
      </c>
      <c r="I137" s="125" t="s">
        <v>17981</v>
      </c>
    </row>
    <row r="138" spans="1:9" ht="28.5">
      <c r="A138" s="125" t="str">
        <f t="shared" si="2"/>
        <v>DeclarationI3</v>
      </c>
      <c r="B138" s="125" t="s">
        <v>857</v>
      </c>
      <c r="C138" s="125" t="s">
        <v>869</v>
      </c>
      <c r="D138" s="125" t="s">
        <v>870</v>
      </c>
      <c r="E138" s="238" t="s">
        <v>871</v>
      </c>
      <c r="F138" s="239" t="s">
        <v>872</v>
      </c>
      <c r="G138" s="125" t="s">
        <v>873</v>
      </c>
      <c r="H138" s="274" t="s">
        <v>874</v>
      </c>
      <c r="I138" s="125" t="s">
        <v>17982</v>
      </c>
    </row>
    <row r="139" spans="1:9">
      <c r="A139" s="125" t="str">
        <f t="shared" si="2"/>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2"/>
        <v>DeclarationB4</v>
      </c>
      <c r="B140" s="125" t="s">
        <v>857</v>
      </c>
      <c r="C140" s="125" t="s">
        <v>655</v>
      </c>
      <c r="D140" s="125" t="s">
        <v>18100</v>
      </c>
      <c r="E140" s="238" t="s">
        <v>881</v>
      </c>
      <c r="F140" s="239" t="s">
        <v>19335</v>
      </c>
      <c r="G140" s="125" t="s">
        <v>882</v>
      </c>
      <c r="H140" s="274" t="s">
        <v>883</v>
      </c>
      <c r="I140" s="125" t="s">
        <v>18009</v>
      </c>
    </row>
    <row r="141" spans="1:9" ht="45">
      <c r="A141" s="125" t="str">
        <f t="shared" si="2"/>
        <v>DeclarationB6</v>
      </c>
      <c r="B141" s="125" t="s">
        <v>857</v>
      </c>
      <c r="C141" s="125" t="s">
        <v>667</v>
      </c>
      <c r="D141" s="125" t="s">
        <v>884</v>
      </c>
      <c r="E141" s="257" t="s">
        <v>885</v>
      </c>
      <c r="F141" s="269" t="s">
        <v>886</v>
      </c>
      <c r="G141" s="125" t="s">
        <v>887</v>
      </c>
      <c r="H141" s="274" t="s">
        <v>888</v>
      </c>
      <c r="I141" s="288" t="s">
        <v>17984</v>
      </c>
    </row>
    <row r="142" spans="1:9">
      <c r="A142" s="125" t="str">
        <f t="shared" si="2"/>
        <v>DeclarationB7</v>
      </c>
      <c r="B142" s="125" t="s">
        <v>857</v>
      </c>
      <c r="C142" s="125" t="s">
        <v>673</v>
      </c>
      <c r="D142" s="125" t="s">
        <v>889</v>
      </c>
      <c r="E142" s="238" t="s">
        <v>890</v>
      </c>
      <c r="F142" s="239" t="s">
        <v>891</v>
      </c>
      <c r="G142" s="125" t="s">
        <v>892</v>
      </c>
      <c r="H142" s="274" t="s">
        <v>893</v>
      </c>
      <c r="I142" s="125" t="s">
        <v>17985</v>
      </c>
    </row>
    <row r="143" spans="1:9" ht="15.75">
      <c r="A143" s="125" t="str">
        <f t="shared" si="2"/>
        <v>DeclarationB8</v>
      </c>
      <c r="B143" s="125" t="s">
        <v>857</v>
      </c>
      <c r="C143" s="125" t="s">
        <v>679</v>
      </c>
      <c r="D143" s="125" t="s">
        <v>894</v>
      </c>
      <c r="E143" s="238" t="s">
        <v>895</v>
      </c>
      <c r="F143" s="239" t="s">
        <v>896</v>
      </c>
      <c r="G143" s="125" t="s">
        <v>897</v>
      </c>
      <c r="H143" s="274" t="s">
        <v>898</v>
      </c>
      <c r="I143" s="125" t="s">
        <v>17986</v>
      </c>
    </row>
    <row r="144" spans="1:9" ht="15.75">
      <c r="A144" s="125" t="str">
        <f t="shared" si="2"/>
        <v>DeclarationB9</v>
      </c>
      <c r="B144" s="125" t="s">
        <v>857</v>
      </c>
      <c r="C144" s="125" t="s">
        <v>685</v>
      </c>
      <c r="D144" s="125" t="s">
        <v>899</v>
      </c>
      <c r="E144" s="238" t="s">
        <v>900</v>
      </c>
      <c r="F144" s="239" t="s">
        <v>901</v>
      </c>
      <c r="G144" s="125" t="s">
        <v>902</v>
      </c>
      <c r="H144" s="274" t="s">
        <v>903</v>
      </c>
      <c r="I144" s="125" t="s">
        <v>17987</v>
      </c>
    </row>
    <row r="145" spans="1:9" ht="28.5">
      <c r="A145" s="125" t="str">
        <f t="shared" si="2"/>
        <v>DeclarationB10</v>
      </c>
      <c r="B145" s="125" t="s">
        <v>857</v>
      </c>
      <c r="C145" s="125" t="s">
        <v>690</v>
      </c>
      <c r="D145" s="125" t="s">
        <v>904</v>
      </c>
      <c r="E145" s="238" t="s">
        <v>905</v>
      </c>
      <c r="F145" s="239" t="s">
        <v>906</v>
      </c>
      <c r="G145" s="125" t="s">
        <v>907</v>
      </c>
      <c r="H145" s="274" t="s">
        <v>908</v>
      </c>
      <c r="I145" s="125" t="s">
        <v>17988</v>
      </c>
    </row>
    <row r="146" spans="1:9" ht="28.5">
      <c r="A146" s="125" t="str">
        <f t="shared" si="2"/>
        <v>DeclarationB10A</v>
      </c>
      <c r="B146" s="125" t="s">
        <v>857</v>
      </c>
      <c r="C146" s="125" t="s">
        <v>909</v>
      </c>
      <c r="D146" s="125" t="s">
        <v>904</v>
      </c>
      <c r="E146" s="238" t="s">
        <v>905</v>
      </c>
      <c r="F146" s="239" t="s">
        <v>910</v>
      </c>
      <c r="G146" s="125" t="s">
        <v>907</v>
      </c>
      <c r="H146" s="274" t="s">
        <v>908</v>
      </c>
      <c r="I146" s="125" t="s">
        <v>17988</v>
      </c>
    </row>
    <row r="147" spans="1:9" ht="28.5">
      <c r="A147" s="125" t="str">
        <f t="shared" si="2"/>
        <v>DeclarationB10C</v>
      </c>
      <c r="B147" s="125" t="s">
        <v>857</v>
      </c>
      <c r="C147" s="125" t="s">
        <v>911</v>
      </c>
      <c r="D147" s="125" t="s">
        <v>912</v>
      </c>
      <c r="E147" s="238" t="s">
        <v>913</v>
      </c>
      <c r="F147" s="239" t="s">
        <v>914</v>
      </c>
      <c r="G147" s="125" t="s">
        <v>915</v>
      </c>
      <c r="H147" s="274" t="s">
        <v>916</v>
      </c>
      <c r="I147" s="125" t="s">
        <v>17989</v>
      </c>
    </row>
    <row r="148" spans="1:9" ht="28.5">
      <c r="A148" s="125" t="str">
        <f t="shared" si="2"/>
        <v>DeclarationB10B</v>
      </c>
      <c r="B148" s="125" t="s">
        <v>857</v>
      </c>
      <c r="C148" s="125" t="s">
        <v>917</v>
      </c>
      <c r="D148" s="125" t="s">
        <v>918</v>
      </c>
      <c r="E148" s="238" t="s">
        <v>919</v>
      </c>
      <c r="F148" s="239" t="s">
        <v>920</v>
      </c>
      <c r="G148" s="125" t="s">
        <v>921</v>
      </c>
      <c r="H148" s="274" t="s">
        <v>922</v>
      </c>
      <c r="I148" s="125" t="s">
        <v>17990</v>
      </c>
    </row>
    <row r="149" spans="1:9" ht="28.5">
      <c r="A149" s="125" t="str">
        <f t="shared" si="2"/>
        <v>DeclarationD11</v>
      </c>
      <c r="B149" s="125" t="s">
        <v>857</v>
      </c>
      <c r="C149" s="125" t="s">
        <v>923</v>
      </c>
      <c r="D149" s="125" t="s">
        <v>924</v>
      </c>
      <c r="E149" s="238" t="s">
        <v>925</v>
      </c>
      <c r="F149" s="239" t="s">
        <v>926</v>
      </c>
      <c r="G149" s="125" t="s">
        <v>927</v>
      </c>
      <c r="H149" s="274" t="s">
        <v>928</v>
      </c>
      <c r="I149" s="125" t="s">
        <v>17991</v>
      </c>
    </row>
    <row r="150" spans="1:9" ht="42.75">
      <c r="A150" s="125" t="str">
        <f t="shared" si="2"/>
        <v>DeclarationB12</v>
      </c>
      <c r="B150" s="125" t="s">
        <v>857</v>
      </c>
      <c r="C150" s="125" t="s">
        <v>18081</v>
      </c>
      <c r="D150" s="244" t="s">
        <v>18080</v>
      </c>
      <c r="E150" s="245" t="s">
        <v>19337</v>
      </c>
      <c r="F150" s="251" t="s">
        <v>19336</v>
      </c>
      <c r="G150" s="244" t="s">
        <v>19338</v>
      </c>
      <c r="H150" s="278" t="s">
        <v>19339</v>
      </c>
      <c r="I150" s="244" t="s">
        <v>19340</v>
      </c>
    </row>
    <row r="151" spans="1:9" ht="57">
      <c r="A151" s="125" t="str">
        <f>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3">B152&amp;C152</f>
        <v>DeclarationB14</v>
      </c>
      <c r="B152" s="125" t="s">
        <v>857</v>
      </c>
      <c r="C152" s="125" t="s">
        <v>18082</v>
      </c>
      <c r="H152" s="274"/>
      <c r="I152" s="125"/>
    </row>
    <row r="153" spans="1:9" ht="28.5">
      <c r="A153" s="125" t="str">
        <f t="shared" si="3"/>
        <v>DeclarationB16</v>
      </c>
      <c r="B153" s="125" t="s">
        <v>857</v>
      </c>
      <c r="C153" s="125" t="s">
        <v>18068</v>
      </c>
      <c r="D153" s="125" t="s">
        <v>929</v>
      </c>
      <c r="E153" s="238" t="s">
        <v>930</v>
      </c>
      <c r="F153" s="239" t="s">
        <v>931</v>
      </c>
      <c r="G153" s="125" t="s">
        <v>932</v>
      </c>
      <c r="H153" s="274" t="s">
        <v>933</v>
      </c>
      <c r="I153" s="125" t="s">
        <v>17992</v>
      </c>
    </row>
    <row r="154" spans="1:9" ht="28.5">
      <c r="A154" s="125" t="str">
        <f t="shared" si="3"/>
        <v>DeclarationB17</v>
      </c>
      <c r="B154" s="125" t="s">
        <v>857</v>
      </c>
      <c r="C154" s="125" t="s">
        <v>18069</v>
      </c>
      <c r="D154" s="125" t="s">
        <v>934</v>
      </c>
      <c r="E154" s="238" t="s">
        <v>935</v>
      </c>
      <c r="F154" s="239" t="s">
        <v>936</v>
      </c>
      <c r="G154" s="125" t="s">
        <v>937</v>
      </c>
      <c r="H154" s="274" t="s">
        <v>938</v>
      </c>
      <c r="I154" s="125" t="s">
        <v>17993</v>
      </c>
    </row>
    <row r="155" spans="1:9" ht="28.5">
      <c r="A155" s="125" t="str">
        <f t="shared" si="3"/>
        <v>DeclarationB18</v>
      </c>
      <c r="B155" s="125" t="s">
        <v>857</v>
      </c>
      <c r="C155" s="125" t="s">
        <v>18070</v>
      </c>
      <c r="D155" s="125" t="s">
        <v>939</v>
      </c>
      <c r="E155" s="238" t="s">
        <v>940</v>
      </c>
      <c r="F155" s="239" t="s">
        <v>941</v>
      </c>
      <c r="G155" s="125" t="s">
        <v>942</v>
      </c>
      <c r="H155" s="274" t="s">
        <v>943</v>
      </c>
      <c r="I155" s="125" t="s">
        <v>17994</v>
      </c>
    </row>
    <row r="156" spans="1:9" ht="28.5">
      <c r="A156" s="125" t="str">
        <f t="shared" si="3"/>
        <v>DeclarationB19</v>
      </c>
      <c r="B156" s="125" t="s">
        <v>857</v>
      </c>
      <c r="C156" s="125" t="s">
        <v>18071</v>
      </c>
      <c r="D156" s="125" t="s">
        <v>944</v>
      </c>
      <c r="E156" s="238" t="s">
        <v>945</v>
      </c>
      <c r="F156" s="239" t="s">
        <v>946</v>
      </c>
      <c r="G156" s="125" t="s">
        <v>947</v>
      </c>
      <c r="H156" s="274" t="s">
        <v>948</v>
      </c>
      <c r="I156" s="125" t="s">
        <v>17995</v>
      </c>
    </row>
    <row r="157" spans="1:9" ht="28.5">
      <c r="A157" s="125" t="str">
        <f t="shared" si="3"/>
        <v>DeclarationB20</v>
      </c>
      <c r="B157" s="125" t="s">
        <v>857</v>
      </c>
      <c r="C157" s="125" t="s">
        <v>18072</v>
      </c>
      <c r="D157" s="125" t="s">
        <v>949</v>
      </c>
      <c r="E157" s="238" t="s">
        <v>950</v>
      </c>
      <c r="F157" s="239" t="s">
        <v>951</v>
      </c>
      <c r="G157" s="125" t="s">
        <v>952</v>
      </c>
      <c r="H157" s="274" t="s">
        <v>953</v>
      </c>
      <c r="I157" s="125" t="s">
        <v>17996</v>
      </c>
    </row>
    <row r="158" spans="1:9" ht="28.5">
      <c r="A158" s="125" t="str">
        <f t="shared" si="3"/>
        <v>DeclarationB21</v>
      </c>
      <c r="B158" s="125" t="s">
        <v>857</v>
      </c>
      <c r="C158" s="125" t="s">
        <v>18073</v>
      </c>
      <c r="D158" s="125" t="s">
        <v>954</v>
      </c>
      <c r="E158" s="238" t="s">
        <v>955</v>
      </c>
      <c r="F158" s="239" t="s">
        <v>956</v>
      </c>
      <c r="G158" s="125" t="s">
        <v>957</v>
      </c>
      <c r="H158" s="274" t="s">
        <v>958</v>
      </c>
      <c r="I158" s="125" t="s">
        <v>17997</v>
      </c>
    </row>
    <row r="159" spans="1:9" ht="28.5">
      <c r="A159" s="125" t="str">
        <f t="shared" si="3"/>
        <v>DeclarationB22</v>
      </c>
      <c r="B159" s="125" t="s">
        <v>857</v>
      </c>
      <c r="C159" s="125" t="s">
        <v>18074</v>
      </c>
      <c r="D159" s="125" t="s">
        <v>959</v>
      </c>
      <c r="E159" s="238" t="s">
        <v>960</v>
      </c>
      <c r="F159" s="239" t="s">
        <v>961</v>
      </c>
      <c r="G159" s="125" t="s">
        <v>962</v>
      </c>
      <c r="H159" s="274" t="s">
        <v>963</v>
      </c>
      <c r="I159" s="125" t="s">
        <v>17998</v>
      </c>
    </row>
    <row r="160" spans="1:9" ht="28.5">
      <c r="A160" s="125" t="str">
        <f t="shared" si="3"/>
        <v>DeclarationB23</v>
      </c>
      <c r="B160" s="125" t="s">
        <v>857</v>
      </c>
      <c r="C160" s="125" t="s">
        <v>18075</v>
      </c>
      <c r="D160" s="125" t="s">
        <v>964</v>
      </c>
      <c r="E160" s="238" t="s">
        <v>965</v>
      </c>
      <c r="F160" s="239" t="s">
        <v>966</v>
      </c>
      <c r="G160" s="125" t="s">
        <v>967</v>
      </c>
      <c r="H160" s="274" t="s">
        <v>968</v>
      </c>
      <c r="I160" s="125" t="s">
        <v>17999</v>
      </c>
    </row>
    <row r="161" spans="1:9" ht="28.5">
      <c r="A161" s="125" t="str">
        <f t="shared" si="3"/>
        <v>DeclarationB24</v>
      </c>
      <c r="B161" s="125" t="s">
        <v>857</v>
      </c>
      <c r="C161" s="125" t="s">
        <v>18076</v>
      </c>
      <c r="D161" s="125" t="s">
        <v>969</v>
      </c>
      <c r="E161" s="238" t="s">
        <v>970</v>
      </c>
      <c r="F161" s="239" t="s">
        <v>971</v>
      </c>
      <c r="G161" s="125" t="s">
        <v>972</v>
      </c>
      <c r="H161" s="274" t="s">
        <v>973</v>
      </c>
      <c r="I161" s="125" t="s">
        <v>18000</v>
      </c>
    </row>
    <row r="162" spans="1:9" ht="28.5">
      <c r="A162" s="125" t="str">
        <f t="shared" si="3"/>
        <v>DeclarationB25</v>
      </c>
      <c r="B162" s="125" t="s">
        <v>857</v>
      </c>
      <c r="C162" s="125" t="s">
        <v>18077</v>
      </c>
      <c r="D162" s="125" t="s">
        <v>974</v>
      </c>
      <c r="E162" s="238" t="s">
        <v>975</v>
      </c>
      <c r="F162" s="239" t="s">
        <v>976</v>
      </c>
      <c r="G162" s="125" t="s">
        <v>977</v>
      </c>
      <c r="H162" s="274" t="s">
        <v>978</v>
      </c>
      <c r="I162" s="125" t="s">
        <v>18001</v>
      </c>
    </row>
    <row r="163" spans="1:9" ht="28.5">
      <c r="A163" s="125" t="str">
        <f t="shared" si="3"/>
        <v>DeclarationB26</v>
      </c>
      <c r="B163" s="125" t="s">
        <v>857</v>
      </c>
      <c r="C163" s="125" t="s">
        <v>18078</v>
      </c>
      <c r="D163" s="125" t="s">
        <v>979</v>
      </c>
      <c r="E163" s="238" t="s">
        <v>980</v>
      </c>
      <c r="F163" s="239" t="s">
        <v>981</v>
      </c>
      <c r="G163" s="125" t="s">
        <v>982</v>
      </c>
      <c r="H163" s="274" t="s">
        <v>983</v>
      </c>
      <c r="I163" s="125" t="s">
        <v>18002</v>
      </c>
    </row>
    <row r="164" spans="1:9" ht="28.5">
      <c r="A164" s="125" t="str">
        <f t="shared" si="3"/>
        <v>DeclarationB28</v>
      </c>
      <c r="B164" s="125" t="s">
        <v>857</v>
      </c>
      <c r="C164" s="125" t="s">
        <v>18079</v>
      </c>
      <c r="D164" s="125" t="s">
        <v>984</v>
      </c>
      <c r="E164" s="238" t="s">
        <v>985</v>
      </c>
      <c r="F164" s="239" t="s">
        <v>986</v>
      </c>
      <c r="G164" s="125" t="s">
        <v>987</v>
      </c>
      <c r="H164" s="274" t="s">
        <v>988</v>
      </c>
      <c r="I164" s="125" t="s">
        <v>18003</v>
      </c>
    </row>
    <row r="165" spans="1:9" ht="49.5">
      <c r="A165" s="125" t="str">
        <f t="shared" si="3"/>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3"/>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3"/>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3"/>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3"/>
        <v>DeclarationB77</v>
      </c>
      <c r="B169" s="125" t="s">
        <v>857</v>
      </c>
      <c r="C169" s="125" t="s">
        <v>18088</v>
      </c>
      <c r="D169" s="125" t="s">
        <v>989</v>
      </c>
      <c r="E169" s="238" t="s">
        <v>990</v>
      </c>
      <c r="F169" s="269" t="s">
        <v>991</v>
      </c>
      <c r="G169" s="125" t="s">
        <v>992</v>
      </c>
      <c r="H169" s="274" t="s">
        <v>993</v>
      </c>
      <c r="I169" s="125" t="s">
        <v>18063</v>
      </c>
    </row>
    <row r="170" spans="1:9" ht="42.75">
      <c r="A170" s="125" t="str">
        <f t="shared" si="3"/>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3"/>
        <v>DeclarationB101</v>
      </c>
      <c r="B171" s="125" t="s">
        <v>857</v>
      </c>
      <c r="C171" s="125" t="s">
        <v>18090</v>
      </c>
      <c r="D171" s="125" t="s">
        <v>994</v>
      </c>
      <c r="E171" s="242" t="s">
        <v>995</v>
      </c>
      <c r="F171" s="239" t="s">
        <v>996</v>
      </c>
      <c r="G171" s="125" t="s">
        <v>997</v>
      </c>
      <c r="H171" s="274" t="s">
        <v>998</v>
      </c>
      <c r="I171" s="125" t="s">
        <v>18064</v>
      </c>
    </row>
    <row r="172" spans="1:9" ht="28.5">
      <c r="A172" s="125" t="str">
        <f t="shared" si="3"/>
        <v>DeclarationB113</v>
      </c>
      <c r="B172" s="125" t="s">
        <v>857</v>
      </c>
      <c r="C172" s="125" t="s">
        <v>18091</v>
      </c>
      <c r="D172" s="125" t="s">
        <v>999</v>
      </c>
      <c r="E172" s="238" t="s">
        <v>1000</v>
      </c>
      <c r="F172" s="239" t="s">
        <v>1001</v>
      </c>
      <c r="G172" s="125" t="s">
        <v>1002</v>
      </c>
      <c r="H172" s="274" t="s">
        <v>1003</v>
      </c>
      <c r="I172" s="125" t="s">
        <v>18012</v>
      </c>
    </row>
    <row r="173" spans="1:9" ht="42.75">
      <c r="A173" s="125" t="str">
        <f t="shared" si="3"/>
        <v>DeclarationB115</v>
      </c>
      <c r="B173" s="125" t="s">
        <v>857</v>
      </c>
      <c r="C173" s="125" t="s">
        <v>18092</v>
      </c>
      <c r="D173" s="125" t="s">
        <v>1004</v>
      </c>
      <c r="E173" s="238" t="s">
        <v>11852</v>
      </c>
      <c r="F173" s="269" t="s">
        <v>1005</v>
      </c>
      <c r="G173" s="125" t="s">
        <v>1006</v>
      </c>
      <c r="H173" s="274" t="s">
        <v>1007</v>
      </c>
      <c r="I173" s="125" t="s">
        <v>18007</v>
      </c>
    </row>
    <row r="174" spans="1:9" ht="57">
      <c r="A174" s="125" t="str">
        <f t="shared" si="3"/>
        <v>DeclarationB117</v>
      </c>
      <c r="B174" s="125" t="s">
        <v>857</v>
      </c>
      <c r="C174" s="125" t="s">
        <v>18093</v>
      </c>
      <c r="D174" s="125" t="s">
        <v>1008</v>
      </c>
      <c r="E174" s="238" t="s">
        <v>11853</v>
      </c>
      <c r="F174" s="239" t="s">
        <v>1009</v>
      </c>
      <c r="G174" s="125" t="s">
        <v>1010</v>
      </c>
      <c r="H174" s="274" t="s">
        <v>1011</v>
      </c>
      <c r="I174" s="125" t="s">
        <v>18008</v>
      </c>
    </row>
    <row r="175" spans="1:9" ht="57">
      <c r="A175" s="125" t="str">
        <f t="shared" si="3"/>
        <v>Declaration</v>
      </c>
      <c r="B175" s="125" t="s">
        <v>857</v>
      </c>
      <c r="D175" s="125" t="s">
        <v>1012</v>
      </c>
      <c r="E175" s="238" t="s">
        <v>1013</v>
      </c>
      <c r="F175" s="258" t="s">
        <v>1014</v>
      </c>
      <c r="G175" s="125" t="s">
        <v>1015</v>
      </c>
      <c r="H175" s="274" t="s">
        <v>1016</v>
      </c>
      <c r="I175" s="125"/>
    </row>
    <row r="176" spans="1:9" ht="71.25">
      <c r="A176" s="125" t="str">
        <f t="shared" si="3"/>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3"/>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3"/>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3"/>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3"/>
        <v>DeclarationB137</v>
      </c>
      <c r="B180" s="125" t="s">
        <v>857</v>
      </c>
      <c r="C180" s="125" t="s">
        <v>18098</v>
      </c>
      <c r="D180" s="125" t="s">
        <v>1025</v>
      </c>
      <c r="E180" s="238" t="s">
        <v>1026</v>
      </c>
      <c r="F180" s="239" t="s">
        <v>1027</v>
      </c>
      <c r="G180" s="125" t="s">
        <v>1028</v>
      </c>
      <c r="H180" s="280" t="s">
        <v>1029</v>
      </c>
      <c r="I180" s="125" t="s">
        <v>18005</v>
      </c>
    </row>
    <row r="181" spans="1:9" ht="28.5">
      <c r="A181" s="125" t="str">
        <f t="shared" si="3"/>
        <v>DeclarationD29</v>
      </c>
      <c r="B181" s="125" t="s">
        <v>857</v>
      </c>
      <c r="C181" s="125" t="s">
        <v>18083</v>
      </c>
      <c r="D181" s="125" t="s">
        <v>1030</v>
      </c>
      <c r="E181" s="238" t="s">
        <v>1031</v>
      </c>
      <c r="F181" s="239" t="s">
        <v>1031</v>
      </c>
      <c r="G181" s="125" t="s">
        <v>1032</v>
      </c>
      <c r="H181" s="274" t="s">
        <v>1033</v>
      </c>
      <c r="I181" s="125" t="s">
        <v>18013</v>
      </c>
    </row>
    <row r="182" spans="1:9" ht="28.5">
      <c r="A182" s="125" t="str">
        <f t="shared" si="3"/>
        <v>DeclarationB114</v>
      </c>
      <c r="B182" s="125" t="s">
        <v>857</v>
      </c>
      <c r="C182" s="125" t="s">
        <v>18113</v>
      </c>
      <c r="D182" s="125" t="s">
        <v>1034</v>
      </c>
      <c r="E182" s="238" t="s">
        <v>1035</v>
      </c>
      <c r="F182" s="239" t="s">
        <v>1036</v>
      </c>
      <c r="G182" s="125" t="s">
        <v>1037</v>
      </c>
      <c r="H182" s="274" t="s">
        <v>1034</v>
      </c>
      <c r="I182" s="125" t="s">
        <v>18014</v>
      </c>
    </row>
    <row r="183" spans="1:9" ht="28.5">
      <c r="A183" s="125" t="str">
        <f t="shared" si="3"/>
        <v>DeclarationG29</v>
      </c>
      <c r="B183" s="125" t="s">
        <v>857</v>
      </c>
      <c r="C183" s="125" t="s">
        <v>18099</v>
      </c>
      <c r="D183" s="125" t="s">
        <v>1038</v>
      </c>
      <c r="E183" s="238" t="s">
        <v>1039</v>
      </c>
      <c r="F183" s="239" t="s">
        <v>1040</v>
      </c>
      <c r="G183" s="125" t="s">
        <v>1041</v>
      </c>
      <c r="H183" s="274" t="s">
        <v>1042</v>
      </c>
      <c r="I183" s="187" t="s">
        <v>18015</v>
      </c>
    </row>
    <row r="184" spans="1:9" ht="409.5">
      <c r="A184" s="125" t="str">
        <f t="shared" si="3"/>
        <v>Smelter Look-upA1</v>
      </c>
      <c r="B184" s="125" t="s">
        <v>1054</v>
      </c>
      <c r="C184" s="125" t="s">
        <v>356</v>
      </c>
      <c r="D184" s="125" t="s">
        <v>1055</v>
      </c>
      <c r="E184" s="238" t="s">
        <v>1056</v>
      </c>
      <c r="F184" s="269" t="s">
        <v>1057</v>
      </c>
      <c r="G184" s="125" t="s">
        <v>1058</v>
      </c>
      <c r="H184" s="274" t="s">
        <v>1059</v>
      </c>
      <c r="I184" s="125" t="s">
        <v>18019</v>
      </c>
    </row>
    <row r="185" spans="1:9" ht="28.5">
      <c r="A185" s="125" t="str">
        <f t="shared" si="3"/>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3"/>
        <v>Smelter Look-upB4</v>
      </c>
      <c r="B186" s="125" t="s">
        <v>1054</v>
      </c>
      <c r="C186" s="125" t="s">
        <v>655</v>
      </c>
      <c r="D186" s="125" t="s">
        <v>1065</v>
      </c>
      <c r="E186" s="272" t="s">
        <v>1066</v>
      </c>
      <c r="F186" s="269" t="s">
        <v>1067</v>
      </c>
      <c r="G186" s="125" t="s">
        <v>1068</v>
      </c>
      <c r="H186" s="274" t="s">
        <v>1069</v>
      </c>
      <c r="I186" s="187" t="s">
        <v>18021</v>
      </c>
    </row>
    <row r="187" spans="1:9" ht="28.5">
      <c r="A187" s="125" t="str">
        <f t="shared" si="3"/>
        <v>Smelter Look-up</v>
      </c>
      <c r="B187" s="125" t="s">
        <v>1054</v>
      </c>
      <c r="D187" s="125" t="s">
        <v>1070</v>
      </c>
      <c r="E187" s="379"/>
      <c r="F187" s="239" t="s">
        <v>1071</v>
      </c>
      <c r="G187" s="125" t="s">
        <v>1072</v>
      </c>
      <c r="H187" s="274" t="s">
        <v>1073</v>
      </c>
      <c r="I187" s="187" t="s">
        <v>18022</v>
      </c>
    </row>
    <row r="188" spans="1:9" ht="28.5">
      <c r="A188" s="125" t="str">
        <f t="shared" si="3"/>
        <v>Smelter Look-upC4</v>
      </c>
      <c r="B188" s="125" t="s">
        <v>1054</v>
      </c>
      <c r="C188" s="125" t="s">
        <v>769</v>
      </c>
      <c r="D188" s="125" t="s">
        <v>1074</v>
      </c>
      <c r="E188" s="259" t="s">
        <v>1075</v>
      </c>
      <c r="F188" s="239" t="s">
        <v>1076</v>
      </c>
      <c r="G188" s="125" t="s">
        <v>1077</v>
      </c>
      <c r="H188" s="274" t="s">
        <v>1078</v>
      </c>
      <c r="I188" s="187" t="s">
        <v>18023</v>
      </c>
    </row>
    <row r="189" spans="1:9" ht="28.5">
      <c r="A189" s="125" t="str">
        <f t="shared" si="3"/>
        <v>Smelter Look-upD4</v>
      </c>
      <c r="B189" s="125" t="s">
        <v>1054</v>
      </c>
      <c r="C189" s="125" t="s">
        <v>1079</v>
      </c>
      <c r="D189" s="125" t="s">
        <v>1080</v>
      </c>
      <c r="E189" s="259"/>
      <c r="F189" s="239" t="s">
        <v>1081</v>
      </c>
      <c r="G189" s="125" t="s">
        <v>1082</v>
      </c>
      <c r="H189" s="274" t="s">
        <v>1083</v>
      </c>
      <c r="I189" s="187" t="s">
        <v>18024</v>
      </c>
    </row>
    <row r="190" spans="1:9" ht="28.5">
      <c r="A190" s="125" t="str">
        <f t="shared" si="3"/>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3"/>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3"/>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3"/>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3"/>
        <v>Smelter Look-upI4</v>
      </c>
      <c r="B194" s="125" t="s">
        <v>1054</v>
      </c>
      <c r="C194" s="125" t="s">
        <v>875</v>
      </c>
      <c r="D194" s="125" t="s">
        <v>1108</v>
      </c>
      <c r="E194" s="238" t="s">
        <v>1109</v>
      </c>
      <c r="F194" s="239" t="s">
        <v>1110</v>
      </c>
      <c r="G194" s="125" t="s">
        <v>1111</v>
      </c>
      <c r="H194" s="274" t="s">
        <v>1112</v>
      </c>
      <c r="I194" s="187" t="s">
        <v>18029</v>
      </c>
    </row>
    <row r="195" spans="1:9">
      <c r="A195" s="125" t="str">
        <f t="shared" si="3"/>
        <v>Smelter ListA4</v>
      </c>
      <c r="B195" s="125" t="s">
        <v>1113</v>
      </c>
      <c r="C195" s="125" t="s">
        <v>1060</v>
      </c>
      <c r="D195" s="125" t="s">
        <v>1114</v>
      </c>
      <c r="E195" s="238" t="s">
        <v>1115</v>
      </c>
      <c r="F195" s="239" t="s">
        <v>1116</v>
      </c>
      <c r="G195" s="125" t="s">
        <v>1117</v>
      </c>
      <c r="H195" s="274" t="s">
        <v>1118</v>
      </c>
      <c r="I195" s="187" t="s">
        <v>18030</v>
      </c>
    </row>
    <row r="196" spans="1:9">
      <c r="A196" s="125" t="str">
        <f t="shared" si="3"/>
        <v>Smelter ListB4</v>
      </c>
      <c r="B196" s="125" t="s">
        <v>1113</v>
      </c>
      <c r="C196" s="125" t="s">
        <v>655</v>
      </c>
      <c r="D196" s="125" t="s">
        <v>1119</v>
      </c>
      <c r="E196" s="238" t="s">
        <v>19028</v>
      </c>
      <c r="F196" s="239" t="s">
        <v>1120</v>
      </c>
      <c r="G196" s="125" t="s">
        <v>1121</v>
      </c>
      <c r="H196" s="274" t="s">
        <v>1122</v>
      </c>
      <c r="I196" s="187" t="s">
        <v>19027</v>
      </c>
    </row>
    <row r="197" spans="1:9" ht="28.5">
      <c r="A197" s="125" t="str">
        <f t="shared" si="3"/>
        <v>Smelter ListC4</v>
      </c>
      <c r="B197" s="125" t="s">
        <v>1113</v>
      </c>
      <c r="C197" s="125" t="s">
        <v>769</v>
      </c>
      <c r="D197" s="125" t="s">
        <v>1065</v>
      </c>
      <c r="E197" s="272" t="s">
        <v>1066</v>
      </c>
      <c r="F197" s="269" t="s">
        <v>1067</v>
      </c>
      <c r="G197" s="125" t="s">
        <v>1068</v>
      </c>
      <c r="H197" s="274" t="s">
        <v>1069</v>
      </c>
      <c r="I197" s="187" t="s">
        <v>18021</v>
      </c>
    </row>
    <row r="198" spans="1:9" ht="28.5">
      <c r="A198" s="125" t="str">
        <f t="shared" si="3"/>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3"/>
        <v>Smelter ListE4</v>
      </c>
      <c r="B199" s="125" t="s">
        <v>1113</v>
      </c>
      <c r="C199" s="125" t="s">
        <v>1084</v>
      </c>
      <c r="D199" s="125" t="s">
        <v>1123</v>
      </c>
      <c r="E199" s="238" t="s">
        <v>1124</v>
      </c>
      <c r="F199" s="239" t="s">
        <v>1125</v>
      </c>
      <c r="G199" s="125" t="s">
        <v>1126</v>
      </c>
      <c r="H199" s="274" t="s">
        <v>1127</v>
      </c>
      <c r="I199" s="187" t="s">
        <v>18031</v>
      </c>
    </row>
    <row r="200" spans="1:9" ht="28.5">
      <c r="A200" s="125" t="str">
        <f t="shared" si="3"/>
        <v>Smelter ListH4</v>
      </c>
      <c r="B200" s="125" t="s">
        <v>1113</v>
      </c>
      <c r="C200" s="125" t="s">
        <v>1102</v>
      </c>
      <c r="D200" s="125" t="s">
        <v>1097</v>
      </c>
      <c r="E200" s="238" t="s">
        <v>1098</v>
      </c>
      <c r="F200" s="239" t="s">
        <v>1099</v>
      </c>
      <c r="G200" s="125" t="s">
        <v>1100</v>
      </c>
      <c r="H200" s="274" t="s">
        <v>1101</v>
      </c>
      <c r="I200" s="187" t="s">
        <v>18027</v>
      </c>
    </row>
    <row r="201" spans="1:9">
      <c r="A201" s="125" t="str">
        <f t="shared" si="3"/>
        <v>Smelter ListI4</v>
      </c>
      <c r="B201" s="125" t="s">
        <v>1113</v>
      </c>
      <c r="C201" s="125" t="s">
        <v>875</v>
      </c>
      <c r="D201" s="125" t="s">
        <v>1103</v>
      </c>
      <c r="E201" s="238" t="s">
        <v>1104</v>
      </c>
      <c r="F201" s="239" t="s">
        <v>1105</v>
      </c>
      <c r="G201" s="125" t="s">
        <v>1106</v>
      </c>
      <c r="H201" s="274" t="s">
        <v>1107</v>
      </c>
      <c r="I201" s="187" t="s">
        <v>18028</v>
      </c>
    </row>
    <row r="202" spans="1:9">
      <c r="A202" s="125" t="str">
        <f t="shared" si="3"/>
        <v>Smelter ListJ4</v>
      </c>
      <c r="B202" s="125" t="s">
        <v>1113</v>
      </c>
      <c r="C202" s="125" t="s">
        <v>1128</v>
      </c>
      <c r="D202" s="125" t="s">
        <v>1108</v>
      </c>
      <c r="E202" s="238" t="s">
        <v>1109</v>
      </c>
      <c r="F202" s="239" t="s">
        <v>1110</v>
      </c>
      <c r="G202" s="125" t="s">
        <v>1111</v>
      </c>
      <c r="H202" s="274" t="s">
        <v>1112</v>
      </c>
      <c r="I202" s="187" t="s">
        <v>18029</v>
      </c>
    </row>
    <row r="203" spans="1:9">
      <c r="A203" s="125" t="str">
        <f t="shared" si="3"/>
        <v>Smelter ListK4</v>
      </c>
      <c r="B203" s="125" t="s">
        <v>1113</v>
      </c>
      <c r="C203" s="125" t="s">
        <v>1129</v>
      </c>
      <c r="D203" s="125" t="s">
        <v>1130</v>
      </c>
      <c r="E203" s="238" t="s">
        <v>1131</v>
      </c>
      <c r="F203" s="239" t="s">
        <v>1132</v>
      </c>
      <c r="G203" s="125" t="s">
        <v>1133</v>
      </c>
      <c r="H203" s="274" t="s">
        <v>1134</v>
      </c>
      <c r="I203" s="187" t="s">
        <v>18032</v>
      </c>
    </row>
    <row r="204" spans="1:9">
      <c r="A204" s="125" t="str">
        <f t="shared" si="3"/>
        <v>Smelter ListL4</v>
      </c>
      <c r="B204" s="125" t="s">
        <v>1113</v>
      </c>
      <c r="C204" s="125" t="s">
        <v>1135</v>
      </c>
      <c r="D204" s="125" t="s">
        <v>1136</v>
      </c>
      <c r="E204" s="238" t="s">
        <v>1137</v>
      </c>
      <c r="F204" s="239" t="s">
        <v>1138</v>
      </c>
      <c r="G204" s="125" t="s">
        <v>1139</v>
      </c>
      <c r="H204" s="274" t="s">
        <v>1140</v>
      </c>
      <c r="I204" s="187" t="s">
        <v>18033</v>
      </c>
    </row>
    <row r="205" spans="1:9" ht="28.5">
      <c r="A205" s="125" t="str">
        <f t="shared" si="3"/>
        <v>Smelter ListM4</v>
      </c>
      <c r="B205" s="125" t="s">
        <v>1113</v>
      </c>
      <c r="C205" s="125" t="s">
        <v>1141</v>
      </c>
      <c r="D205" s="125" t="s">
        <v>1142</v>
      </c>
      <c r="E205" s="238" t="s">
        <v>1143</v>
      </c>
      <c r="F205" s="239" t="s">
        <v>1144</v>
      </c>
      <c r="G205" s="125" t="s">
        <v>1145</v>
      </c>
      <c r="H205" s="274" t="s">
        <v>1146</v>
      </c>
      <c r="I205" s="187" t="s">
        <v>18034</v>
      </c>
    </row>
    <row r="206" spans="1:9" ht="28.5">
      <c r="A206" s="125" t="str">
        <f t="shared" si="3"/>
        <v>Smelter ListN4</v>
      </c>
      <c r="B206" s="125" t="s">
        <v>1113</v>
      </c>
      <c r="C206" s="125" t="s">
        <v>1147</v>
      </c>
      <c r="D206" s="125" t="s">
        <v>1148</v>
      </c>
      <c r="E206" s="238" t="s">
        <v>1149</v>
      </c>
      <c r="F206" s="239" t="s">
        <v>1150</v>
      </c>
      <c r="G206" s="125" t="s">
        <v>1151</v>
      </c>
      <c r="H206" s="274" t="s">
        <v>1152</v>
      </c>
      <c r="I206" s="125" t="s">
        <v>18035</v>
      </c>
    </row>
    <row r="207" spans="1:9" ht="42.75">
      <c r="A207" s="125" t="str">
        <f t="shared" si="3"/>
        <v>Smelter ListO4</v>
      </c>
      <c r="B207" s="125" t="s">
        <v>1113</v>
      </c>
      <c r="C207" s="125" t="s">
        <v>1153</v>
      </c>
      <c r="D207" s="125" t="s">
        <v>1154</v>
      </c>
      <c r="E207" s="238" t="s">
        <v>1155</v>
      </c>
      <c r="F207" s="239" t="s">
        <v>1156</v>
      </c>
      <c r="G207" s="125" t="s">
        <v>1157</v>
      </c>
      <c r="H207" s="274" t="s">
        <v>1158</v>
      </c>
      <c r="I207" s="125" t="s">
        <v>18036</v>
      </c>
    </row>
    <row r="208" spans="1:9" ht="28.5">
      <c r="A208" s="125" t="str">
        <f t="shared" si="3"/>
        <v>Smelter ListP4</v>
      </c>
      <c r="B208" s="125" t="s">
        <v>1113</v>
      </c>
      <c r="C208" s="125" t="s">
        <v>1159</v>
      </c>
      <c r="D208" s="125" t="s">
        <v>1160</v>
      </c>
      <c r="E208" s="238" t="s">
        <v>1161</v>
      </c>
      <c r="F208" s="239" t="s">
        <v>1162</v>
      </c>
      <c r="G208" s="125" t="s">
        <v>1163</v>
      </c>
      <c r="H208" s="274" t="s">
        <v>1164</v>
      </c>
      <c r="I208" s="125" t="s">
        <v>18037</v>
      </c>
    </row>
    <row r="209" spans="1:9" ht="28.5">
      <c r="A209" s="125" t="str">
        <f t="shared" si="3"/>
        <v>Smelter ListQ4</v>
      </c>
      <c r="B209" s="125" t="s">
        <v>1113</v>
      </c>
      <c r="C209" s="125" t="s">
        <v>1165</v>
      </c>
      <c r="D209" s="125" t="s">
        <v>1038</v>
      </c>
      <c r="E209" s="238" t="s">
        <v>1039</v>
      </c>
      <c r="F209" s="239" t="s">
        <v>1040</v>
      </c>
      <c r="G209" s="125" t="s">
        <v>1041</v>
      </c>
      <c r="H209" s="274" t="s">
        <v>1042</v>
      </c>
      <c r="I209" s="125" t="s">
        <v>18015</v>
      </c>
    </row>
    <row r="210" spans="1:9" ht="28.5">
      <c r="A210" s="125" t="str">
        <f t="shared" si="3"/>
        <v>Smelter ListJ2</v>
      </c>
      <c r="B210" s="125" t="s">
        <v>1113</v>
      </c>
      <c r="C210" s="125" t="s">
        <v>1166</v>
      </c>
      <c r="D210" s="125" t="s">
        <v>1167</v>
      </c>
      <c r="E210" s="238" t="s">
        <v>1168</v>
      </c>
      <c r="F210" s="239" t="s">
        <v>1169</v>
      </c>
      <c r="G210" s="125" t="s">
        <v>1170</v>
      </c>
      <c r="H210" s="274" t="s">
        <v>1171</v>
      </c>
      <c r="I210" s="125" t="s">
        <v>18038</v>
      </c>
    </row>
    <row r="211" spans="1:9" ht="27">
      <c r="A211" s="125" t="str">
        <f t="shared" si="3"/>
        <v>Smelter ListB2</v>
      </c>
      <c r="B211" s="125" t="s">
        <v>1113</v>
      </c>
      <c r="C211" s="125" t="s">
        <v>644</v>
      </c>
      <c r="D211" s="261" t="s">
        <v>1172</v>
      </c>
      <c r="E211" s="238" t="s">
        <v>1173</v>
      </c>
      <c r="F211" s="239" t="s">
        <v>1174</v>
      </c>
      <c r="G211" s="261" t="s">
        <v>1175</v>
      </c>
      <c r="H211" s="274" t="s">
        <v>1176</v>
      </c>
      <c r="I211" s="125" t="s">
        <v>18039</v>
      </c>
    </row>
    <row r="212" spans="1:9" ht="409.5">
      <c r="A212" s="125" t="str">
        <f t="shared" si="3"/>
        <v>Smelter ListB3</v>
      </c>
      <c r="B212" s="125" t="s">
        <v>1113</v>
      </c>
      <c r="C212" s="125" t="s">
        <v>649</v>
      </c>
      <c r="D212" s="261" t="s">
        <v>18769</v>
      </c>
      <c r="E212" s="273" t="s">
        <v>1177</v>
      </c>
      <c r="F212" s="269" t="s">
        <v>1178</v>
      </c>
      <c r="G212" s="262" t="s">
        <v>1179</v>
      </c>
      <c r="H212" s="274" t="s">
        <v>1180</v>
      </c>
      <c r="I212" s="125" t="s">
        <v>18040</v>
      </c>
    </row>
    <row r="213" spans="1:9">
      <c r="A213" s="125" t="str">
        <f t="shared" si="3"/>
        <v>Smelter ListF4</v>
      </c>
      <c r="B213" s="125" t="s">
        <v>1113</v>
      </c>
      <c r="C213" s="125" t="s">
        <v>1090</v>
      </c>
      <c r="D213" s="125" t="s">
        <v>1181</v>
      </c>
      <c r="E213" s="238" t="s">
        <v>1182</v>
      </c>
      <c r="F213" s="239" t="s">
        <v>754</v>
      </c>
      <c r="G213" s="125" t="s">
        <v>1183</v>
      </c>
      <c r="H213" s="274" t="s">
        <v>1184</v>
      </c>
      <c r="I213" s="125" t="s">
        <v>18041</v>
      </c>
    </row>
    <row r="214" spans="1:9" ht="28.5">
      <c r="A214" s="125" t="str">
        <f t="shared" si="3"/>
        <v>Smelter ListG4</v>
      </c>
      <c r="B214" s="125" t="s">
        <v>1113</v>
      </c>
      <c r="C214" s="125" t="s">
        <v>1096</v>
      </c>
      <c r="D214" s="125" t="s">
        <v>1091</v>
      </c>
      <c r="E214" s="238" t="s">
        <v>1092</v>
      </c>
      <c r="F214" s="239" t="s">
        <v>1093</v>
      </c>
      <c r="G214" s="125" t="s">
        <v>1185</v>
      </c>
      <c r="H214" s="274" t="s">
        <v>1095</v>
      </c>
      <c r="I214" s="125" t="s">
        <v>18026</v>
      </c>
    </row>
    <row r="215" spans="1:9" ht="28.5">
      <c r="A215" s="125" t="str">
        <f t="shared" si="3"/>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4">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4"/>
        <v>Smelter ListAH7</v>
      </c>
      <c r="B217" s="125" t="s">
        <v>1113</v>
      </c>
      <c r="C217" s="125" t="s">
        <v>1188</v>
      </c>
      <c r="D217" s="125" t="s">
        <v>26</v>
      </c>
      <c r="E217" s="238" t="s">
        <v>1050</v>
      </c>
      <c r="F217" s="239" t="s">
        <v>1051</v>
      </c>
      <c r="G217" s="125" t="s">
        <v>1052</v>
      </c>
      <c r="H217" s="274" t="s">
        <v>1053</v>
      </c>
      <c r="I217" s="125" t="s">
        <v>18018</v>
      </c>
    </row>
    <row r="218" spans="1:9" ht="42.75">
      <c r="A218" s="125" t="str">
        <f t="shared" si="4"/>
        <v>CheckerA1</v>
      </c>
      <c r="B218" s="125" t="s">
        <v>1189</v>
      </c>
      <c r="C218" s="125" t="s">
        <v>356</v>
      </c>
      <c r="D218" s="125" t="s">
        <v>1190</v>
      </c>
      <c r="E218" s="238" t="s">
        <v>1191</v>
      </c>
      <c r="F218" s="239" t="s">
        <v>1192</v>
      </c>
      <c r="G218" s="125" t="s">
        <v>1193</v>
      </c>
      <c r="H218" s="274" t="s">
        <v>1194</v>
      </c>
      <c r="I218" s="125" t="s">
        <v>18042</v>
      </c>
    </row>
    <row r="219" spans="1:9">
      <c r="A219" s="125" t="str">
        <f t="shared" si="4"/>
        <v>CheckerD1</v>
      </c>
      <c r="B219" s="125" t="s">
        <v>1189</v>
      </c>
      <c r="C219" s="125" t="s">
        <v>1195</v>
      </c>
      <c r="D219" s="125" t="s">
        <v>1196</v>
      </c>
      <c r="E219" s="238" t="s">
        <v>1197</v>
      </c>
      <c r="F219" s="239" t="s">
        <v>1198</v>
      </c>
      <c r="G219" s="125" t="s">
        <v>1199</v>
      </c>
      <c r="H219" s="274" t="s">
        <v>1200</v>
      </c>
      <c r="I219" s="125" t="s">
        <v>18043</v>
      </c>
    </row>
    <row r="220" spans="1:9">
      <c r="A220" s="125" t="str">
        <f t="shared" si="4"/>
        <v>CheckerA3</v>
      </c>
      <c r="B220" s="125" t="s">
        <v>1189</v>
      </c>
      <c r="C220" s="125" t="s">
        <v>365</v>
      </c>
      <c r="D220" s="125" t="s">
        <v>1201</v>
      </c>
      <c r="E220" s="238" t="s">
        <v>1202</v>
      </c>
      <c r="F220" s="239" t="s">
        <v>1203</v>
      </c>
      <c r="G220" s="125" t="s">
        <v>1204</v>
      </c>
      <c r="H220" s="274" t="s">
        <v>1205</v>
      </c>
      <c r="I220" s="125" t="s">
        <v>18044</v>
      </c>
    </row>
    <row r="221" spans="1:9">
      <c r="A221" s="125" t="str">
        <f t="shared" si="4"/>
        <v>CheckerB3</v>
      </c>
      <c r="B221" s="125" t="s">
        <v>1189</v>
      </c>
      <c r="C221" s="125" t="s">
        <v>649</v>
      </c>
      <c r="D221" s="125" t="s">
        <v>1206</v>
      </c>
      <c r="E221" s="238" t="s">
        <v>1207</v>
      </c>
      <c r="F221" s="239" t="s">
        <v>1031</v>
      </c>
      <c r="G221" s="125" t="s">
        <v>1208</v>
      </c>
      <c r="H221" s="274" t="s">
        <v>1209</v>
      </c>
      <c r="I221" s="125" t="s">
        <v>18045</v>
      </c>
    </row>
    <row r="222" spans="1:9">
      <c r="A222" s="125" t="str">
        <f t="shared" si="4"/>
        <v>CheckerC3</v>
      </c>
      <c r="B222" s="125" t="s">
        <v>1189</v>
      </c>
      <c r="C222" s="125" t="s">
        <v>763</v>
      </c>
      <c r="D222" s="125" t="s">
        <v>1210</v>
      </c>
      <c r="E222" s="238" t="s">
        <v>1211</v>
      </c>
      <c r="F222" s="239" t="s">
        <v>1212</v>
      </c>
      <c r="G222" s="125" t="s">
        <v>1213</v>
      </c>
      <c r="H222" s="274" t="s">
        <v>1214</v>
      </c>
      <c r="I222" s="125" t="s">
        <v>18046</v>
      </c>
    </row>
    <row r="223" spans="1:9">
      <c r="A223" s="125" t="str">
        <f t="shared" si="4"/>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4"/>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4"/>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4"/>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4"/>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4"/>
        <v>CheckerCOMP</v>
      </c>
      <c r="B228" s="125" t="s">
        <v>1189</v>
      </c>
      <c r="C228" s="125" t="s">
        <v>1231</v>
      </c>
      <c r="D228" s="125" t="s">
        <v>1232</v>
      </c>
      <c r="E228" s="238" t="s">
        <v>1233</v>
      </c>
      <c r="F228" s="239" t="s">
        <v>1234</v>
      </c>
      <c r="G228" s="125" t="s">
        <v>1235</v>
      </c>
      <c r="H228" s="274" t="s">
        <v>1236</v>
      </c>
      <c r="I228" s="125" t="s">
        <v>18049</v>
      </c>
    </row>
    <row r="229" spans="1:9" ht="28.5">
      <c r="A229" s="125" t="str">
        <f t="shared" si="4"/>
        <v>CheckerJ4</v>
      </c>
      <c r="B229" s="125" t="s">
        <v>1189</v>
      </c>
      <c r="C229" s="125" t="s">
        <v>1128</v>
      </c>
      <c r="D229" s="125" t="s">
        <v>1237</v>
      </c>
      <c r="E229" s="238" t="s">
        <v>1238</v>
      </c>
      <c r="F229" s="239" t="s">
        <v>1239</v>
      </c>
      <c r="G229" s="125" t="s">
        <v>1240</v>
      </c>
      <c r="H229" s="274" t="s">
        <v>1241</v>
      </c>
      <c r="I229" s="125" t="s">
        <v>18050</v>
      </c>
    </row>
    <row r="230" spans="1:9" ht="28.5">
      <c r="A230" s="125" t="str">
        <f t="shared" si="4"/>
        <v>CheckerJ5</v>
      </c>
      <c r="B230" s="125" t="s">
        <v>1189</v>
      </c>
      <c r="C230" s="125" t="s">
        <v>1242</v>
      </c>
      <c r="D230" s="125" t="s">
        <v>1243</v>
      </c>
      <c r="E230" s="238" t="s">
        <v>1244</v>
      </c>
      <c r="F230" s="239" t="s">
        <v>1245</v>
      </c>
      <c r="G230" s="125" t="s">
        <v>1246</v>
      </c>
      <c r="H230" s="274" t="s">
        <v>1247</v>
      </c>
      <c r="I230" s="125" t="s">
        <v>18051</v>
      </c>
    </row>
    <row r="231" spans="1:9" ht="28.5">
      <c r="A231" s="125" t="str">
        <f t="shared" si="4"/>
        <v>CheckerJ6</v>
      </c>
      <c r="B231" s="125" t="s">
        <v>1189</v>
      </c>
      <c r="C231" s="125" t="s">
        <v>1248</v>
      </c>
      <c r="D231" s="125" t="s">
        <v>1249</v>
      </c>
      <c r="E231" s="238" t="s">
        <v>1250</v>
      </c>
      <c r="F231" s="239" t="s">
        <v>1251</v>
      </c>
      <c r="G231" s="125" t="s">
        <v>1252</v>
      </c>
      <c r="H231" s="274" t="s">
        <v>1253</v>
      </c>
      <c r="I231" s="125" t="s">
        <v>18052</v>
      </c>
    </row>
    <row r="232" spans="1:9" ht="28.5">
      <c r="A232" s="125" t="str">
        <f t="shared" si="4"/>
        <v>CheckerJ7</v>
      </c>
      <c r="B232" s="125" t="s">
        <v>1189</v>
      </c>
      <c r="C232" s="125" t="s">
        <v>1254</v>
      </c>
      <c r="D232" s="125" t="s">
        <v>18405</v>
      </c>
      <c r="H232" s="274"/>
      <c r="I232" s="125"/>
    </row>
    <row r="233" spans="1:9">
      <c r="A233" s="125" t="str">
        <f t="shared" si="4"/>
        <v>CheckerJ8</v>
      </c>
      <c r="B233" s="125" t="s">
        <v>1189</v>
      </c>
      <c r="C233" s="125" t="s">
        <v>1257</v>
      </c>
      <c r="H233" s="274"/>
      <c r="I233" s="125"/>
    </row>
    <row r="234" spans="1:9" ht="28.5">
      <c r="A234" s="125" t="str">
        <f t="shared" si="4"/>
        <v>CheckerJ9</v>
      </c>
      <c r="B234" s="125" t="s">
        <v>1189</v>
      </c>
      <c r="C234" s="125" t="s">
        <v>1260</v>
      </c>
      <c r="D234" s="125" t="s">
        <v>18375</v>
      </c>
      <c r="E234" s="238" t="s">
        <v>19029</v>
      </c>
      <c r="F234" s="239" t="s">
        <v>19095</v>
      </c>
      <c r="G234" s="125" t="s">
        <v>1255</v>
      </c>
      <c r="H234" s="274" t="s">
        <v>1256</v>
      </c>
      <c r="I234" s="125" t="s">
        <v>18053</v>
      </c>
    </row>
    <row r="235" spans="1:9" ht="28.5">
      <c r="A235" s="125" t="str">
        <f t="shared" si="4"/>
        <v>CheckerJ10</v>
      </c>
      <c r="B235" s="125" t="s">
        <v>1189</v>
      </c>
      <c r="C235" s="125" t="s">
        <v>1263</v>
      </c>
      <c r="D235" s="125" t="s">
        <v>18490</v>
      </c>
      <c r="E235" s="238" t="s">
        <v>19030</v>
      </c>
      <c r="F235" s="239" t="s">
        <v>19096</v>
      </c>
      <c r="G235" s="125" t="s">
        <v>1258</v>
      </c>
      <c r="H235" s="274" t="s">
        <v>1259</v>
      </c>
      <c r="I235" s="125" t="s">
        <v>18054</v>
      </c>
    </row>
    <row r="236" spans="1:9" ht="28.5">
      <c r="A236" s="125" t="str">
        <f t="shared" si="4"/>
        <v>CheckerJ11</v>
      </c>
      <c r="B236" s="125" t="s">
        <v>1189</v>
      </c>
      <c r="C236" s="125" t="s">
        <v>1266</v>
      </c>
      <c r="D236" s="125" t="s">
        <v>18376</v>
      </c>
      <c r="E236" s="238" t="s">
        <v>19031</v>
      </c>
      <c r="F236" s="239" t="s">
        <v>19097</v>
      </c>
      <c r="G236" s="125" t="s">
        <v>1261</v>
      </c>
      <c r="H236" s="274" t="s">
        <v>1262</v>
      </c>
      <c r="I236" s="125" t="s">
        <v>18055</v>
      </c>
    </row>
    <row r="237" spans="1:9" ht="42.75">
      <c r="A237" s="125" t="str">
        <f t="shared" si="4"/>
        <v>CheckerJ12</v>
      </c>
      <c r="B237" s="125" t="s">
        <v>1189</v>
      </c>
      <c r="C237" s="125" t="s">
        <v>1269</v>
      </c>
      <c r="D237" s="125" t="s">
        <v>18377</v>
      </c>
      <c r="E237" s="238" t="s">
        <v>19032</v>
      </c>
      <c r="F237" s="239" t="s">
        <v>19098</v>
      </c>
      <c r="G237" s="249" t="s">
        <v>1264</v>
      </c>
      <c r="H237" s="274" t="s">
        <v>1265</v>
      </c>
      <c r="I237" s="125" t="s">
        <v>18056</v>
      </c>
    </row>
    <row r="238" spans="1:9" ht="42.75">
      <c r="A238" s="125" t="str">
        <f t="shared" si="4"/>
        <v>CheckerJ13</v>
      </c>
      <c r="B238" s="125" t="s">
        <v>1189</v>
      </c>
      <c r="C238" s="125" t="s">
        <v>1270</v>
      </c>
      <c r="D238" s="125" t="s">
        <v>18378</v>
      </c>
      <c r="E238" s="238" t="s">
        <v>19034</v>
      </c>
      <c r="F238" s="239" t="s">
        <v>19099</v>
      </c>
      <c r="G238" s="249" t="s">
        <v>1267</v>
      </c>
      <c r="H238" s="274" t="s">
        <v>1268</v>
      </c>
      <c r="I238" s="125" t="s">
        <v>18057</v>
      </c>
    </row>
    <row r="239" spans="1:9" ht="28.5">
      <c r="A239" s="125" t="str">
        <f t="shared" si="4"/>
        <v>CheckerJ15</v>
      </c>
      <c r="B239" s="125" t="s">
        <v>1189</v>
      </c>
      <c r="C239" s="125" t="s">
        <v>1273</v>
      </c>
      <c r="D239" s="125" t="s">
        <v>18379</v>
      </c>
      <c r="E239" s="238" t="s">
        <v>19033</v>
      </c>
      <c r="F239" s="239" t="s">
        <v>19100</v>
      </c>
      <c r="G239" s="125" t="s">
        <v>1271</v>
      </c>
      <c r="H239" s="274" t="s">
        <v>1272</v>
      </c>
      <c r="I239" s="125" t="s">
        <v>18058</v>
      </c>
    </row>
    <row r="240" spans="1:9" ht="42.75">
      <c r="A240" s="125" t="str">
        <f t="shared" si="4"/>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4"/>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4"/>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4"/>
        <v>CheckerJ20</v>
      </c>
      <c r="B243" s="125" t="s">
        <v>1189</v>
      </c>
      <c r="C243" s="125" t="s">
        <v>1276</v>
      </c>
      <c r="D243" s="244" t="s">
        <v>18386</v>
      </c>
      <c r="E243" s="245" t="s">
        <v>19038</v>
      </c>
      <c r="F243" s="251" t="s">
        <v>19350</v>
      </c>
      <c r="G243" s="95" t="s">
        <v>19121</v>
      </c>
      <c r="H243" s="274" t="s">
        <v>19175</v>
      </c>
      <c r="I243" s="125" t="s">
        <v>19229</v>
      </c>
    </row>
    <row r="244" spans="1:9" ht="42.75">
      <c r="A244" s="125" t="str">
        <f t="shared" si="4"/>
        <v>CheckerJ21</v>
      </c>
      <c r="B244" s="125" t="s">
        <v>1189</v>
      </c>
      <c r="C244" s="125" t="s">
        <v>1277</v>
      </c>
      <c r="D244" s="244" t="s">
        <v>18387</v>
      </c>
      <c r="E244" s="245" t="s">
        <v>19039</v>
      </c>
      <c r="F244" s="251" t="s">
        <v>19351</v>
      </c>
      <c r="G244" s="95" t="s">
        <v>19122</v>
      </c>
      <c r="H244" s="274" t="s">
        <v>19176</v>
      </c>
      <c r="I244" s="125" t="s">
        <v>19230</v>
      </c>
    </row>
    <row r="245" spans="1:9" ht="42.75">
      <c r="A245" s="125" t="str">
        <f t="shared" si="4"/>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4"/>
        <v>CheckerJ23</v>
      </c>
      <c r="B246" s="125" t="s">
        <v>1189</v>
      </c>
      <c r="C246" s="125" t="s">
        <v>1279</v>
      </c>
      <c r="E246" s="242"/>
      <c r="G246"/>
      <c r="H246" s="274"/>
      <c r="I246" s="125"/>
    </row>
    <row r="247" spans="1:9" ht="13.5" customHeight="1">
      <c r="A247" s="125" t="str">
        <f t="shared" si="4"/>
        <v>CheckerJ24</v>
      </c>
      <c r="B247" s="125" t="s">
        <v>1189</v>
      </c>
      <c r="C247" s="125" t="s">
        <v>1280</v>
      </c>
      <c r="E247" s="242"/>
      <c r="G247"/>
      <c r="H247" s="274"/>
      <c r="I247" s="125"/>
    </row>
    <row r="248" spans="1:9" ht="13.5" customHeight="1">
      <c r="A248" s="125" t="str">
        <f t="shared" si="4"/>
        <v>CheckerJ25</v>
      </c>
      <c r="B248" s="125" t="s">
        <v>1189</v>
      </c>
      <c r="C248" s="125" t="s">
        <v>18381</v>
      </c>
      <c r="E248" s="242"/>
      <c r="G248"/>
      <c r="H248" s="274"/>
      <c r="I248" s="125"/>
    </row>
    <row r="249" spans="1:9" ht="13.5" customHeight="1">
      <c r="A249" s="125" t="str">
        <f t="shared" si="4"/>
        <v>CheckerJ26</v>
      </c>
      <c r="B249" s="125" t="s">
        <v>1189</v>
      </c>
      <c r="C249" s="125" t="s">
        <v>18382</v>
      </c>
      <c r="E249" s="242"/>
      <c r="G249"/>
      <c r="H249" s="274"/>
      <c r="I249" s="125"/>
    </row>
    <row r="250" spans="1:9" ht="57">
      <c r="A250" s="125" t="str">
        <f t="shared" si="4"/>
        <v>CheckerJ28</v>
      </c>
      <c r="B250" s="125" t="s">
        <v>1189</v>
      </c>
      <c r="C250" s="125" t="s">
        <v>1281</v>
      </c>
      <c r="D250" s="244" t="s">
        <v>18389</v>
      </c>
      <c r="E250" s="245" t="s">
        <v>19041</v>
      </c>
      <c r="F250" s="251" t="s">
        <v>19353</v>
      </c>
      <c r="G250" s="256" t="s">
        <v>19124</v>
      </c>
      <c r="H250" s="274" t="s">
        <v>19178</v>
      </c>
      <c r="I250" s="125" t="s">
        <v>19232</v>
      </c>
    </row>
    <row r="251" spans="1:9" ht="57">
      <c r="A251" s="125" t="str">
        <f t="shared" si="4"/>
        <v>CheckerJ29</v>
      </c>
      <c r="B251" s="125" t="s">
        <v>1189</v>
      </c>
      <c r="C251" s="125" t="s">
        <v>1282</v>
      </c>
      <c r="D251" s="244" t="s">
        <v>18390</v>
      </c>
      <c r="E251" s="245" t="s">
        <v>19042</v>
      </c>
      <c r="F251" s="251" t="s">
        <v>19354</v>
      </c>
      <c r="G251" s="256" t="s">
        <v>19125</v>
      </c>
      <c r="H251" s="274" t="s">
        <v>19179</v>
      </c>
      <c r="I251" s="125" t="s">
        <v>19233</v>
      </c>
    </row>
    <row r="252" spans="1:9" ht="57">
      <c r="A252" s="125" t="str">
        <f t="shared" si="4"/>
        <v>CheckerJ30</v>
      </c>
      <c r="B252" s="125" t="s">
        <v>1189</v>
      </c>
      <c r="C252" s="125" t="s">
        <v>18391</v>
      </c>
      <c r="D252" s="244" t="s">
        <v>18399</v>
      </c>
      <c r="E252" s="245" t="s">
        <v>19043</v>
      </c>
      <c r="F252" s="251" t="s">
        <v>19355</v>
      </c>
      <c r="G252" s="256" t="s">
        <v>19126</v>
      </c>
      <c r="H252" s="274" t="s">
        <v>19180</v>
      </c>
      <c r="I252" s="125" t="s">
        <v>19234</v>
      </c>
    </row>
    <row r="253" spans="1:9" ht="57">
      <c r="A253" s="125" t="str">
        <f t="shared" si="4"/>
        <v>CheckerJ31</v>
      </c>
      <c r="B253" s="125" t="s">
        <v>1189</v>
      </c>
      <c r="C253" s="125" t="s">
        <v>18392</v>
      </c>
      <c r="D253" s="244" t="s">
        <v>18400</v>
      </c>
      <c r="E253" s="245" t="s">
        <v>19044</v>
      </c>
      <c r="F253" s="251" t="s">
        <v>19356</v>
      </c>
      <c r="G253" s="256" t="s">
        <v>19127</v>
      </c>
      <c r="H253" s="274" t="s">
        <v>19181</v>
      </c>
      <c r="I253" s="125" t="s">
        <v>19235</v>
      </c>
    </row>
    <row r="254" spans="1:9" ht="57">
      <c r="A254" s="125" t="str">
        <f t="shared" si="4"/>
        <v>CheckerJ32</v>
      </c>
      <c r="B254" s="125" t="s">
        <v>1189</v>
      </c>
      <c r="C254" s="125" t="s">
        <v>18393</v>
      </c>
      <c r="D254" s="244" t="s">
        <v>18401</v>
      </c>
      <c r="E254" s="245" t="s">
        <v>19045</v>
      </c>
      <c r="F254" s="251" t="s">
        <v>19357</v>
      </c>
      <c r="G254" s="256" t="s">
        <v>19128</v>
      </c>
      <c r="H254" s="274" t="s">
        <v>19182</v>
      </c>
      <c r="I254" s="125" t="s">
        <v>19236</v>
      </c>
    </row>
    <row r="255" spans="1:9" ht="57">
      <c r="A255" s="125" t="str">
        <f t="shared" si="4"/>
        <v>CheckerJ33</v>
      </c>
      <c r="B255" s="125" t="s">
        <v>1189</v>
      </c>
      <c r="C255" s="125" t="s">
        <v>18394</v>
      </c>
      <c r="D255" s="244" t="s">
        <v>18402</v>
      </c>
      <c r="E255" s="245" t="s">
        <v>19046</v>
      </c>
      <c r="F255" s="251" t="s">
        <v>19358</v>
      </c>
      <c r="G255" s="256" t="s">
        <v>19129</v>
      </c>
      <c r="H255" s="274" t="s">
        <v>19183</v>
      </c>
      <c r="I255" s="125" t="s">
        <v>19237</v>
      </c>
    </row>
    <row r="256" spans="1:9">
      <c r="A256" s="125" t="str">
        <f t="shared" si="4"/>
        <v>CheckerJ34</v>
      </c>
      <c r="B256" s="125" t="s">
        <v>1189</v>
      </c>
      <c r="C256" s="125" t="s">
        <v>18395</v>
      </c>
      <c r="D256" s="244"/>
      <c r="E256" s="245"/>
      <c r="F256" s="252"/>
      <c r="G256" s="256"/>
      <c r="H256" s="274"/>
      <c r="I256" s="125"/>
    </row>
    <row r="257" spans="1:9">
      <c r="A257" s="125" t="str">
        <f t="shared" si="4"/>
        <v>CheckerJ35</v>
      </c>
      <c r="B257" s="125" t="s">
        <v>1189</v>
      </c>
      <c r="C257" s="125" t="s">
        <v>18396</v>
      </c>
      <c r="D257" s="244"/>
      <c r="E257" s="245"/>
      <c r="F257" s="252"/>
      <c r="G257" s="256"/>
      <c r="H257" s="274"/>
      <c r="I257" s="125"/>
    </row>
    <row r="258" spans="1:9">
      <c r="A258" s="125" t="str">
        <f t="shared" si="4"/>
        <v>CheckerJ36</v>
      </c>
      <c r="B258" s="125" t="s">
        <v>1189</v>
      </c>
      <c r="C258" s="125" t="s">
        <v>18397</v>
      </c>
      <c r="D258" s="244"/>
      <c r="E258" s="245"/>
      <c r="F258" s="252"/>
      <c r="G258" s="256"/>
      <c r="H258" s="274"/>
      <c r="I258" s="125"/>
    </row>
    <row r="259" spans="1:9">
      <c r="A259" s="125" t="str">
        <f t="shared" si="4"/>
        <v>CheckerJ37</v>
      </c>
      <c r="B259" s="125" t="s">
        <v>1189</v>
      </c>
      <c r="C259" s="125" t="s">
        <v>18398</v>
      </c>
      <c r="D259" s="244"/>
      <c r="E259" s="245"/>
      <c r="F259" s="252"/>
      <c r="G259" s="256"/>
      <c r="H259" s="274"/>
      <c r="I259" s="125"/>
    </row>
    <row r="260" spans="1:9" ht="71.25">
      <c r="A260" s="125" t="str">
        <f t="shared" si="4"/>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4"/>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4"/>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4"/>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4"/>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4"/>
        <v>CheckerJ44</v>
      </c>
      <c r="B265" s="125" t="s">
        <v>1189</v>
      </c>
      <c r="C265" s="125" t="s">
        <v>18409</v>
      </c>
      <c r="D265" s="244" t="s">
        <v>18496</v>
      </c>
      <c r="E265" s="245" t="s">
        <v>19052</v>
      </c>
      <c r="F265" s="251" t="s">
        <v>19364</v>
      </c>
      <c r="G265" s="249" t="s">
        <v>19135</v>
      </c>
      <c r="H265" s="274" t="s">
        <v>19189</v>
      </c>
      <c r="I265" s="125" t="s">
        <v>19243</v>
      </c>
    </row>
    <row r="266" spans="1:9" ht="15">
      <c r="A266" s="125" t="str">
        <f t="shared" si="4"/>
        <v>CheckerJ45</v>
      </c>
      <c r="B266" s="125" t="s">
        <v>1189</v>
      </c>
      <c r="C266" s="125" t="s">
        <v>18410</v>
      </c>
      <c r="D266" s="244"/>
      <c r="E266" s="245"/>
      <c r="F266" s="251"/>
      <c r="G266" s="249"/>
      <c r="H266" s="274"/>
      <c r="I266" s="125"/>
    </row>
    <row r="267" spans="1:9" ht="15">
      <c r="A267" s="125" t="str">
        <f t="shared" si="4"/>
        <v>CheckerJ46</v>
      </c>
      <c r="B267" s="125" t="s">
        <v>1189</v>
      </c>
      <c r="C267" s="125" t="s">
        <v>18411</v>
      </c>
      <c r="D267" s="244"/>
      <c r="E267" s="245"/>
      <c r="F267" s="251"/>
      <c r="G267" s="249"/>
      <c r="H267" s="274"/>
      <c r="I267" s="125"/>
    </row>
    <row r="268" spans="1:9" ht="15">
      <c r="A268" s="125" t="str">
        <f t="shared" si="4"/>
        <v>CheckerJ47</v>
      </c>
      <c r="B268" s="125" t="s">
        <v>1189</v>
      </c>
      <c r="C268" s="125" t="s">
        <v>18412</v>
      </c>
      <c r="D268" s="244"/>
      <c r="E268" s="245"/>
      <c r="F268" s="251"/>
      <c r="G268" s="249"/>
      <c r="H268" s="274"/>
      <c r="I268" s="125"/>
    </row>
    <row r="269" spans="1:9" ht="15">
      <c r="A269" s="125" t="str">
        <f t="shared" si="4"/>
        <v>CheckerJ48</v>
      </c>
      <c r="B269" s="125" t="s">
        <v>1189</v>
      </c>
      <c r="C269" s="125" t="s">
        <v>18413</v>
      </c>
      <c r="D269" s="244"/>
      <c r="E269" s="245"/>
      <c r="F269" s="251"/>
      <c r="G269" s="249"/>
      <c r="H269" s="274"/>
      <c r="I269" s="125"/>
    </row>
    <row r="270" spans="1:9" ht="71.25">
      <c r="A270" s="125" t="str">
        <f t="shared" si="4"/>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4"/>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4"/>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4"/>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4"/>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4"/>
        <v>CheckerJ55</v>
      </c>
      <c r="B275" s="125" t="s">
        <v>1189</v>
      </c>
      <c r="C275" s="125" t="s">
        <v>18419</v>
      </c>
      <c r="D275" s="244" t="s">
        <v>18502</v>
      </c>
      <c r="E275" s="245" t="s">
        <v>19058</v>
      </c>
      <c r="F275" s="251" t="s">
        <v>19370</v>
      </c>
      <c r="G275" s="249" t="s">
        <v>19141</v>
      </c>
      <c r="H275" s="274" t="s">
        <v>19195</v>
      </c>
      <c r="I275" s="125" t="s">
        <v>19249</v>
      </c>
    </row>
    <row r="276" spans="1:9" ht="15">
      <c r="A276" s="125" t="str">
        <f t="shared" si="4"/>
        <v>CheckerJ56</v>
      </c>
      <c r="B276" s="125" t="s">
        <v>1189</v>
      </c>
      <c r="C276" s="125" t="s">
        <v>18420</v>
      </c>
      <c r="D276" s="244"/>
      <c r="E276" s="245"/>
      <c r="F276" s="251"/>
      <c r="G276" s="249"/>
      <c r="H276" s="274"/>
      <c r="I276" s="125"/>
    </row>
    <row r="277" spans="1:9" ht="15">
      <c r="A277" s="125" t="str">
        <f t="shared" si="4"/>
        <v>CheckerJ57</v>
      </c>
      <c r="B277" s="125" t="s">
        <v>1189</v>
      </c>
      <c r="C277" s="125" t="s">
        <v>18421</v>
      </c>
      <c r="D277" s="244"/>
      <c r="E277" s="245"/>
      <c r="F277" s="251"/>
      <c r="G277" s="249"/>
      <c r="H277" s="274"/>
      <c r="I277" s="125"/>
    </row>
    <row r="278" spans="1:9" ht="15">
      <c r="A278" s="125" t="str">
        <f t="shared" si="4"/>
        <v>CheckerJ58</v>
      </c>
      <c r="B278" s="125" t="s">
        <v>1189</v>
      </c>
      <c r="C278" s="125" t="s">
        <v>18422</v>
      </c>
      <c r="D278" s="244"/>
      <c r="E278" s="245"/>
      <c r="F278" s="251"/>
      <c r="G278" s="249"/>
      <c r="H278" s="274"/>
      <c r="I278" s="125"/>
    </row>
    <row r="279" spans="1:9" ht="15">
      <c r="A279" s="125" t="str">
        <f t="shared" si="4"/>
        <v>CheckerJ59</v>
      </c>
      <c r="B279" s="125" t="s">
        <v>1189</v>
      </c>
      <c r="C279" s="125" t="s">
        <v>18423</v>
      </c>
      <c r="D279" s="244"/>
      <c r="E279" s="245"/>
      <c r="F279" s="251"/>
      <c r="G279" s="249"/>
      <c r="H279" s="274"/>
      <c r="I279" s="125"/>
    </row>
    <row r="280" spans="1:9" ht="42.75">
      <c r="A280" s="125" t="str">
        <f t="shared" ref="A280:A345" si="5">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5"/>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5"/>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5"/>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5"/>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5"/>
        <v>CheckerJ66</v>
      </c>
      <c r="B285" s="125" t="s">
        <v>1189</v>
      </c>
      <c r="C285" s="125" t="s">
        <v>18429</v>
      </c>
      <c r="D285" s="125" t="s">
        <v>18508</v>
      </c>
      <c r="E285" s="238" t="s">
        <v>19064</v>
      </c>
      <c r="F285" s="239" t="s">
        <v>19106</v>
      </c>
      <c r="G285" s="249" t="s">
        <v>19147</v>
      </c>
      <c r="H285" s="274" t="s">
        <v>19201</v>
      </c>
      <c r="I285" s="125" t="s">
        <v>19255</v>
      </c>
    </row>
    <row r="286" spans="1:9" ht="15">
      <c r="A286" s="125" t="str">
        <f t="shared" si="5"/>
        <v>CheckerJ67</v>
      </c>
      <c r="B286" s="125" t="s">
        <v>1189</v>
      </c>
      <c r="C286" s="125" t="s">
        <v>18430</v>
      </c>
      <c r="G286" s="309"/>
      <c r="H286" s="274"/>
      <c r="I286" s="125"/>
    </row>
    <row r="287" spans="1:9" ht="15">
      <c r="A287" s="125" t="str">
        <f t="shared" si="5"/>
        <v>CheckerJ68</v>
      </c>
      <c r="B287" s="125" t="s">
        <v>1189</v>
      </c>
      <c r="C287" s="125" t="s">
        <v>18431</v>
      </c>
      <c r="G287" s="309"/>
      <c r="H287" s="274"/>
      <c r="I287" s="125"/>
    </row>
    <row r="288" spans="1:9">
      <c r="A288" s="125" t="str">
        <f t="shared" si="5"/>
        <v>CheckerJ69</v>
      </c>
      <c r="B288" s="125" t="s">
        <v>1189</v>
      </c>
      <c r="C288" s="125" t="s">
        <v>18432</v>
      </c>
      <c r="G288"/>
      <c r="H288" s="274"/>
      <c r="I288" s="125"/>
    </row>
    <row r="289" spans="1:9">
      <c r="A289" s="125" t="str">
        <f t="shared" si="5"/>
        <v>CheckerJ70</v>
      </c>
      <c r="B289" s="125" t="s">
        <v>1189</v>
      </c>
      <c r="C289" s="125" t="s">
        <v>18433</v>
      </c>
      <c r="G289"/>
      <c r="H289" s="274"/>
      <c r="I289" s="125"/>
    </row>
    <row r="290" spans="1:9" ht="57">
      <c r="A290" s="125" t="str">
        <f t="shared" si="5"/>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5"/>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5"/>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5"/>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5"/>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5"/>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5"/>
        <v>CheckerJ78</v>
      </c>
      <c r="B296" s="125" t="s">
        <v>1189</v>
      </c>
      <c r="C296" s="125" t="s">
        <v>18438</v>
      </c>
      <c r="G296"/>
      <c r="H296" s="274"/>
    </row>
    <row r="297" spans="1:9" ht="51.95" customHeight="1">
      <c r="A297" s="125" t="str">
        <f t="shared" si="5"/>
        <v>CheckerJ79</v>
      </c>
      <c r="B297" s="125" t="s">
        <v>1189</v>
      </c>
      <c r="C297" s="125" t="s">
        <v>18439</v>
      </c>
      <c r="G297"/>
      <c r="H297" s="274"/>
    </row>
    <row r="298" spans="1:9" ht="51.95" customHeight="1">
      <c r="A298" s="125" t="str">
        <f t="shared" si="5"/>
        <v>CheckerJ80</v>
      </c>
      <c r="B298" s="125" t="s">
        <v>1189</v>
      </c>
      <c r="C298" s="125" t="s">
        <v>18440</v>
      </c>
      <c r="G298"/>
      <c r="H298" s="274"/>
    </row>
    <row r="299" spans="1:9">
      <c r="A299" s="125" t="str">
        <f t="shared" si="5"/>
        <v>CheckerJ81</v>
      </c>
      <c r="B299" s="125" t="s">
        <v>1189</v>
      </c>
      <c r="C299" s="125" t="s">
        <v>18441</v>
      </c>
      <c r="G299"/>
      <c r="H299" s="274"/>
    </row>
    <row r="300" spans="1:9" ht="57">
      <c r="A300" s="125" t="str">
        <f t="shared" si="5"/>
        <v>CheckerJ83</v>
      </c>
      <c r="B300" s="125" t="s">
        <v>1189</v>
      </c>
      <c r="C300" s="125" t="s">
        <v>18442</v>
      </c>
      <c r="D300" s="244" t="s">
        <v>18515</v>
      </c>
      <c r="E300" s="245" t="s">
        <v>19071</v>
      </c>
      <c r="F300" s="251" t="s">
        <v>19371</v>
      </c>
      <c r="G300" s="256" t="s">
        <v>19154</v>
      </c>
      <c r="H300" s="274" t="s">
        <v>19208</v>
      </c>
      <c r="I300" s="125" t="s">
        <v>19262</v>
      </c>
    </row>
    <row r="301" spans="1:9" ht="57">
      <c r="A301" s="125" t="str">
        <f t="shared" si="5"/>
        <v>CheckerJ84</v>
      </c>
      <c r="B301" s="125" t="s">
        <v>1189</v>
      </c>
      <c r="C301" s="125" t="s">
        <v>18443</v>
      </c>
      <c r="D301" s="244" t="s">
        <v>18516</v>
      </c>
      <c r="E301" s="245" t="s">
        <v>19072</v>
      </c>
      <c r="F301" s="251" t="s">
        <v>19372</v>
      </c>
      <c r="G301" s="256" t="s">
        <v>19155</v>
      </c>
      <c r="H301" s="274" t="s">
        <v>19209</v>
      </c>
      <c r="I301" s="125" t="s">
        <v>19263</v>
      </c>
    </row>
    <row r="302" spans="1:9" ht="57">
      <c r="A302" s="125" t="str">
        <f t="shared" si="5"/>
        <v>CheckerJ85</v>
      </c>
      <c r="B302" s="125" t="s">
        <v>1189</v>
      </c>
      <c r="C302" s="125" t="s">
        <v>18444</v>
      </c>
      <c r="D302" s="244" t="s">
        <v>18517</v>
      </c>
      <c r="E302" s="245" t="s">
        <v>19073</v>
      </c>
      <c r="F302" s="251" t="s">
        <v>19373</v>
      </c>
      <c r="G302" s="256" t="s">
        <v>19156</v>
      </c>
      <c r="H302" s="274" t="s">
        <v>19210</v>
      </c>
      <c r="I302" s="125" t="s">
        <v>19264</v>
      </c>
    </row>
    <row r="303" spans="1:9" ht="57">
      <c r="A303" s="125" t="str">
        <f t="shared" si="5"/>
        <v>CheckerJ86</v>
      </c>
      <c r="B303" s="125" t="s">
        <v>1189</v>
      </c>
      <c r="C303" s="125" t="s">
        <v>18445</v>
      </c>
      <c r="D303" s="244" t="s">
        <v>18518</v>
      </c>
      <c r="E303" s="245" t="s">
        <v>19074</v>
      </c>
      <c r="F303" s="251" t="s">
        <v>19374</v>
      </c>
      <c r="G303" s="256" t="s">
        <v>19157</v>
      </c>
      <c r="H303" s="274" t="s">
        <v>19211</v>
      </c>
      <c r="I303" s="125" t="s">
        <v>19265</v>
      </c>
    </row>
    <row r="304" spans="1:9" ht="57">
      <c r="A304" s="125" t="str">
        <f t="shared" si="5"/>
        <v>CheckerJ87</v>
      </c>
      <c r="B304" s="125" t="s">
        <v>1189</v>
      </c>
      <c r="C304" s="125" t="s">
        <v>18446</v>
      </c>
      <c r="D304" s="244" t="s">
        <v>18519</v>
      </c>
      <c r="E304" s="245" t="s">
        <v>19075</v>
      </c>
      <c r="F304" s="251" t="s">
        <v>19375</v>
      </c>
      <c r="G304" s="256" t="s">
        <v>19158</v>
      </c>
      <c r="H304" s="274" t="s">
        <v>19212</v>
      </c>
      <c r="I304" s="125" t="s">
        <v>19266</v>
      </c>
    </row>
    <row r="305" spans="1:9" ht="57">
      <c r="A305" s="125" t="str">
        <f t="shared" si="5"/>
        <v>CheckerJ88</v>
      </c>
      <c r="B305" s="125" t="s">
        <v>1189</v>
      </c>
      <c r="C305" s="125" t="s">
        <v>18447</v>
      </c>
      <c r="D305" s="244" t="s">
        <v>18520</v>
      </c>
      <c r="E305" s="245" t="s">
        <v>19076</v>
      </c>
      <c r="F305" s="251" t="s">
        <v>19376</v>
      </c>
      <c r="G305" s="256" t="s">
        <v>19159</v>
      </c>
      <c r="H305" s="274" t="s">
        <v>19213</v>
      </c>
      <c r="I305" s="125" t="s">
        <v>19267</v>
      </c>
    </row>
    <row r="306" spans="1:9">
      <c r="A306" s="125" t="str">
        <f t="shared" si="5"/>
        <v>CheckerJ89</v>
      </c>
      <c r="B306" s="125" t="s">
        <v>1189</v>
      </c>
      <c r="C306" s="125" t="s">
        <v>18448</v>
      </c>
      <c r="D306" s="244"/>
      <c r="E306" s="245"/>
      <c r="F306" s="251"/>
      <c r="G306" s="256"/>
      <c r="H306" s="274"/>
      <c r="I306" s="125"/>
    </row>
    <row r="307" spans="1:9">
      <c r="A307" s="125" t="str">
        <f t="shared" si="5"/>
        <v>CheckerJ90</v>
      </c>
      <c r="B307" s="125" t="s">
        <v>1189</v>
      </c>
      <c r="C307" s="125" t="s">
        <v>18449</v>
      </c>
      <c r="D307" s="244"/>
      <c r="E307" s="245"/>
      <c r="F307" s="251"/>
      <c r="G307" s="256"/>
      <c r="H307" s="274"/>
      <c r="I307" s="125"/>
    </row>
    <row r="308" spans="1:9">
      <c r="A308" s="125" t="str">
        <f t="shared" si="5"/>
        <v>CheckerJ91</v>
      </c>
      <c r="B308" s="125" t="s">
        <v>1189</v>
      </c>
      <c r="C308" s="125" t="s">
        <v>18450</v>
      </c>
      <c r="D308" s="244"/>
      <c r="E308" s="245"/>
      <c r="F308" s="251"/>
      <c r="G308" s="256"/>
      <c r="H308" s="274"/>
      <c r="I308" s="125"/>
    </row>
    <row r="309" spans="1:9">
      <c r="A309" s="125" t="str">
        <f t="shared" si="5"/>
        <v>CheckerJ92</v>
      </c>
      <c r="B309" s="125" t="s">
        <v>1189</v>
      </c>
      <c r="C309" s="125" t="s">
        <v>18451</v>
      </c>
      <c r="D309" s="244"/>
      <c r="E309" s="245"/>
      <c r="F309" s="251"/>
      <c r="G309" s="256"/>
      <c r="H309" s="274"/>
      <c r="I309" s="125"/>
    </row>
    <row r="310" spans="1:9" ht="51.6" customHeight="1">
      <c r="A310" s="125" t="str">
        <f t="shared" si="5"/>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5"/>
        <v>CheckerJ95</v>
      </c>
      <c r="B311" s="125" t="s">
        <v>1189</v>
      </c>
      <c r="C311" s="125" t="s">
        <v>18455</v>
      </c>
      <c r="D311" s="244" t="s">
        <v>18454</v>
      </c>
      <c r="E311" s="245" t="s">
        <v>19078</v>
      </c>
      <c r="F311" s="251" t="s">
        <v>19114</v>
      </c>
      <c r="G311" s="263" t="s">
        <v>19161</v>
      </c>
      <c r="H311" s="274" t="s">
        <v>19215</v>
      </c>
      <c r="I311" s="125" t="s">
        <v>19269</v>
      </c>
    </row>
    <row r="312" spans="1:9" ht="57">
      <c r="A312" s="125" t="str">
        <f t="shared" si="5"/>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5"/>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5"/>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5"/>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5"/>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5"/>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5"/>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5"/>
        <v>CheckerJ104</v>
      </c>
      <c r="B319" s="125" t="s">
        <v>1189</v>
      </c>
      <c r="C319" s="125" t="s">
        <v>18470</v>
      </c>
      <c r="D319" s="244"/>
      <c r="E319" s="245"/>
      <c r="F319" s="251"/>
      <c r="G319" s="308"/>
      <c r="H319" s="274"/>
      <c r="I319" s="125"/>
    </row>
    <row r="320" spans="1:9" ht="15">
      <c r="A320" s="125" t="str">
        <f t="shared" si="5"/>
        <v>CheckerJ105</v>
      </c>
      <c r="B320" s="125" t="s">
        <v>1189</v>
      </c>
      <c r="C320" s="125" t="s">
        <v>18471</v>
      </c>
      <c r="D320" s="244"/>
      <c r="E320" s="245"/>
      <c r="F320" s="251"/>
      <c r="G320" s="308"/>
      <c r="H320" s="274"/>
      <c r="I320" s="125"/>
    </row>
    <row r="321" spans="1:9" ht="15">
      <c r="A321" s="125" t="str">
        <f t="shared" si="5"/>
        <v>CheckerJ106</v>
      </c>
      <c r="B321" s="125" t="s">
        <v>1189</v>
      </c>
      <c r="C321" s="125" t="s">
        <v>18472</v>
      </c>
      <c r="D321" s="244"/>
      <c r="E321" s="245"/>
      <c r="F321" s="251"/>
      <c r="G321" s="308"/>
      <c r="H321" s="274"/>
      <c r="I321" s="125"/>
    </row>
    <row r="322" spans="1:9" ht="15">
      <c r="A322" s="125" t="str">
        <f t="shared" si="5"/>
        <v>CheckerJ107</v>
      </c>
      <c r="B322" s="125" t="s">
        <v>1189</v>
      </c>
      <c r="C322" s="125" t="s">
        <v>18473</v>
      </c>
      <c r="D322" s="244"/>
      <c r="E322" s="245"/>
      <c r="F322" s="251"/>
      <c r="G322" s="308"/>
      <c r="H322" s="274"/>
      <c r="I322" s="125"/>
    </row>
    <row r="323" spans="1:9" ht="42.75" customHeight="1">
      <c r="A323" s="125" t="str">
        <f t="shared" si="5"/>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5"/>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5"/>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5"/>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5"/>
        <v>CheckerJ112</v>
      </c>
      <c r="B327" s="125" t="s">
        <v>1189</v>
      </c>
      <c r="C327" s="125" t="s">
        <v>18480</v>
      </c>
      <c r="D327" s="125" t="s">
        <v>18481</v>
      </c>
      <c r="E327" s="265" t="s">
        <v>19090</v>
      </c>
      <c r="F327" s="239" t="s">
        <v>1283</v>
      </c>
      <c r="G327" s="125" t="s">
        <v>1284</v>
      </c>
      <c r="H327" s="274" t="s">
        <v>1285</v>
      </c>
      <c r="I327" s="125" t="s">
        <v>18059</v>
      </c>
    </row>
    <row r="328" spans="1:9" ht="42.75">
      <c r="A328" s="125" t="str">
        <f t="shared" si="5"/>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5"/>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5"/>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5"/>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5"/>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5"/>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5"/>
        <v>Checker</v>
      </c>
      <c r="B334" s="125" t="s">
        <v>1189</v>
      </c>
      <c r="D334" s="125" t="s">
        <v>1286</v>
      </c>
      <c r="E334" s="242" t="s">
        <v>1287</v>
      </c>
      <c r="F334" s="239" t="s">
        <v>1288</v>
      </c>
      <c r="G334" s="246" t="s">
        <v>1289</v>
      </c>
      <c r="H334" s="274" t="s">
        <v>1290</v>
      </c>
      <c r="I334" s="125" t="s">
        <v>18061</v>
      </c>
    </row>
    <row r="335" spans="1:9">
      <c r="A335" s="125" t="str">
        <f t="shared" si="5"/>
        <v>Checker</v>
      </c>
      <c r="B335" s="125" t="s">
        <v>1189</v>
      </c>
      <c r="G335"/>
      <c r="H335" s="274"/>
      <c r="I335" s="187" t="s">
        <v>18060</v>
      </c>
    </row>
    <row r="336" spans="1:9">
      <c r="A336" s="125" t="str">
        <f t="shared" si="5"/>
        <v>Checker</v>
      </c>
      <c r="B336" s="125" t="s">
        <v>1189</v>
      </c>
      <c r="G336"/>
      <c r="H336" s="274"/>
    </row>
    <row r="337" spans="1:9" ht="60.95" customHeight="1">
      <c r="A337" s="125" t="str">
        <f t="shared" si="5"/>
        <v>Checker</v>
      </c>
      <c r="B337" s="125" t="s">
        <v>1189</v>
      </c>
      <c r="D337" s="125" t="s">
        <v>1291</v>
      </c>
      <c r="E337" s="242" t="s">
        <v>1292</v>
      </c>
      <c r="F337" s="239" t="s">
        <v>1293</v>
      </c>
      <c r="G337" s="246" t="s">
        <v>1294</v>
      </c>
      <c r="H337" s="274" t="s">
        <v>1295</v>
      </c>
      <c r="I337" s="125" t="s">
        <v>18062</v>
      </c>
    </row>
    <row r="338" spans="1:9" ht="42.75">
      <c r="A338" s="125" t="str">
        <f t="shared" si="5"/>
        <v>Product ListA1</v>
      </c>
      <c r="B338" s="125" t="s">
        <v>54</v>
      </c>
      <c r="C338" s="125" t="s">
        <v>356</v>
      </c>
      <c r="D338" s="143" t="s">
        <v>1296</v>
      </c>
      <c r="E338" s="266" t="s">
        <v>1297</v>
      </c>
      <c r="F338" s="267" t="s">
        <v>1298</v>
      </c>
      <c r="G338" s="268" t="s">
        <v>1299</v>
      </c>
      <c r="H338" s="274" t="s">
        <v>1300</v>
      </c>
      <c r="I338" s="289" t="s">
        <v>18065</v>
      </c>
    </row>
    <row r="339" spans="1:9">
      <c r="A339" s="125" t="str">
        <f t="shared" si="5"/>
        <v>Product ListB5</v>
      </c>
      <c r="B339" s="125" t="s">
        <v>54</v>
      </c>
      <c r="C339" s="125" t="s">
        <v>661</v>
      </c>
      <c r="D339" s="143" t="s">
        <v>19535</v>
      </c>
      <c r="E339" s="266" t="s">
        <v>19285</v>
      </c>
      <c r="F339" s="239" t="s">
        <v>19280</v>
      </c>
      <c r="G339" s="143" t="s">
        <v>19400</v>
      </c>
      <c r="H339" s="274" t="s">
        <v>19281</v>
      </c>
      <c r="I339" s="290" t="s">
        <v>19283</v>
      </c>
    </row>
    <row r="340" spans="1:9">
      <c r="A340" s="125" t="str">
        <f t="shared" si="5"/>
        <v>Product ListC5</v>
      </c>
      <c r="B340" s="125" t="s">
        <v>54</v>
      </c>
      <c r="C340" s="125" t="s">
        <v>775</v>
      </c>
      <c r="D340" s="143" t="s">
        <v>19536</v>
      </c>
      <c r="E340" s="266" t="s">
        <v>19286</v>
      </c>
      <c r="F340" s="239" t="s">
        <v>19394</v>
      </c>
      <c r="G340" s="143" t="s">
        <v>19385</v>
      </c>
      <c r="H340" s="274" t="s">
        <v>19282</v>
      </c>
      <c r="I340" s="290" t="s">
        <v>19284</v>
      </c>
    </row>
    <row r="341" spans="1:9">
      <c r="A341" s="125" t="str">
        <f t="shared" si="5"/>
        <v>Product ListD5</v>
      </c>
      <c r="B341" s="125" t="s">
        <v>54</v>
      </c>
      <c r="C341" s="125" t="s">
        <v>1301</v>
      </c>
      <c r="D341" s="187" t="s">
        <v>19537</v>
      </c>
      <c r="E341" s="266" t="s">
        <v>19510</v>
      </c>
      <c r="F341" s="239" t="s">
        <v>19513</v>
      </c>
      <c r="G341" s="143" t="s">
        <v>19514</v>
      </c>
      <c r="H341" s="274" t="s">
        <v>19516</v>
      </c>
      <c r="I341" s="290" t="s">
        <v>19518</v>
      </c>
    </row>
    <row r="342" spans="1:9">
      <c r="A342" s="125" t="str">
        <f>B342&amp;C342</f>
        <v>Product ListE5</v>
      </c>
      <c r="B342" s="125" t="s">
        <v>54</v>
      </c>
      <c r="C342" s="125" t="s">
        <v>19497</v>
      </c>
      <c r="D342" s="187" t="s">
        <v>19538</v>
      </c>
      <c r="E342" s="266" t="s">
        <v>19511</v>
      </c>
      <c r="F342" s="239" t="s">
        <v>19512</v>
      </c>
      <c r="G342" s="143" t="s">
        <v>19515</v>
      </c>
      <c r="H342" s="274" t="s">
        <v>19517</v>
      </c>
      <c r="I342" s="290" t="s">
        <v>19519</v>
      </c>
    </row>
    <row r="343" spans="1:9">
      <c r="A343" s="125" t="str">
        <f>B343&amp;C343</f>
        <v>Product ListF5</v>
      </c>
      <c r="B343" s="125" t="s">
        <v>54</v>
      </c>
      <c r="C343" s="125" t="s">
        <v>19498</v>
      </c>
      <c r="D343" s="143" t="s">
        <v>1038</v>
      </c>
      <c r="E343" s="266" t="s">
        <v>1211</v>
      </c>
      <c r="F343" s="239" t="s">
        <v>1040</v>
      </c>
      <c r="G343" s="143" t="s">
        <v>1041</v>
      </c>
      <c r="H343" s="274" t="s">
        <v>1042</v>
      </c>
      <c r="I343" s="290" t="s">
        <v>18015</v>
      </c>
    </row>
    <row r="344" spans="1:9" ht="28.5">
      <c r="A344" s="125" t="str">
        <f t="shared" si="5"/>
        <v>GeneralCpy</v>
      </c>
      <c r="B344" s="125" t="s">
        <v>1302</v>
      </c>
      <c r="C344" s="125" t="s">
        <v>1303</v>
      </c>
      <c r="D344" s="125" t="s">
        <v>19547</v>
      </c>
      <c r="E344" s="238" t="s">
        <v>19548</v>
      </c>
      <c r="F344" s="239" t="s">
        <v>19549</v>
      </c>
      <c r="G344" s="125" t="s">
        <v>19550</v>
      </c>
      <c r="H344" s="274" t="s">
        <v>19551</v>
      </c>
      <c r="I344" s="125" t="s">
        <v>19547</v>
      </c>
    </row>
    <row r="345" spans="1:9">
      <c r="A345" s="125" t="str">
        <f t="shared" si="5"/>
        <v>General</v>
      </c>
      <c r="B345" s="125" t="s">
        <v>1302</v>
      </c>
      <c r="G345"/>
      <c r="H345" s="274"/>
    </row>
    <row r="346" spans="1:9">
      <c r="G346"/>
      <c r="H346" s="274"/>
    </row>
    <row r="347" spans="1:9" s="348" customFormat="1">
      <c r="A347" s="345" t="str">
        <f t="shared" ref="A347:A362" si="6">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6"/>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6"/>
        <v>Mine ListC4</v>
      </c>
      <c r="B349" s="345" t="s">
        <v>18525</v>
      </c>
      <c r="C349" s="345" t="s">
        <v>769</v>
      </c>
      <c r="D349" s="347" t="s">
        <v>18532</v>
      </c>
      <c r="E349" s="346" t="s">
        <v>18533</v>
      </c>
      <c r="F349" s="345" t="s">
        <v>18534</v>
      </c>
      <c r="G349" s="345" t="s">
        <v>18535</v>
      </c>
      <c r="H349" s="345" t="s">
        <v>18536</v>
      </c>
    </row>
    <row r="350" spans="1:9" s="348" customFormat="1">
      <c r="A350" s="345" t="str">
        <f t="shared" si="6"/>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6"/>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6"/>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6"/>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6"/>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6"/>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6"/>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6"/>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6"/>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6"/>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6"/>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6"/>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6"/>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B1D9DE2-1318-40FE-99B1-05FA575A7B5F}"/>
    </customSheetView>
    <customSheetView guid="{4BDF1A28-30D5-449D-B20E-D6C97EF9FAE1}" showAutoFilter="1">
      <selection activeCell="C174" sqref="C174"/>
      <pageMargins left="0" right="0" top="0" bottom="0" header="0" footer="0"/>
      <pageSetup paperSize="9" orientation="portrait"/>
      <autoFilter ref="B1:N1" xr:uid="{D15DFD17-9D38-4DA0-A53D-5289F89EEC4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B04366E-5BE2-4595-8D5C-46220966E36F}"/>
    </customSheetView>
    <customSheetView guid="{4BDF1A28-30D5-449D-B20E-D6C97EF9FAE1}" showAutoFilter="1">
      <selection activeCell="C1" sqref="C1:D65536"/>
      <pageMargins left="0" right="0" top="0" bottom="0" header="0" footer="0"/>
      <pageSetup orientation="portrait"/>
      <autoFilter ref="B1:C1" xr:uid="{176511C0-3AC1-4FCC-91F3-81A20A5EF32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8"/>
      <c r="B1" s="399"/>
      <c r="C1" s="399"/>
      <c r="D1" s="400"/>
    </row>
    <row r="2" spans="1:8" ht="15">
      <c r="A2" s="175"/>
      <c r="B2" s="176" t="str">
        <f ca="1">OFFSET(L!$C$1,MATCH("Definitions"&amp;ADDRESS(ROW(),COLUMN(),4),L!$A:$A,0)-1,SL,,)</f>
        <v>ITEM</v>
      </c>
      <c r="C2" s="176" t="str">
        <f ca="1">OFFSET(L!$C$1,MATCH("Definitions"&amp;ADDRESS(ROW(),COLUMN(),4),L!$A:$A,0)-1,SL,,)</f>
        <v>DEFINITION</v>
      </c>
      <c r="D2" s="402"/>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2"/>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2"/>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2"/>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8"/>
    </row>
    <row r="28" spans="1:5" ht="15">
      <c r="A28" s="175"/>
      <c r="B28" s="404" t="str">
        <f ca="1">OFFSET(L!$C$1,MATCH("Definitions"&amp;ADDRESS(ROW(),COLUMN(),4),L!$A:$A,0)-1,SL,,)</f>
        <v>* Please consult the EMRT Completion Guide for additional details on primary and secondary sources for this mineral.</v>
      </c>
      <c r="C28" s="404"/>
      <c r="D28" s="402"/>
      <c r="E28" s="178"/>
    </row>
    <row r="29" spans="1:5" ht="15">
      <c r="A29" s="175"/>
      <c r="B29" s="401" t="str">
        <f ca="1">OFFSET(L!$C$1,MATCH("General"&amp;"Cpy",L!$A:$A,0)-1,SL,,)</f>
        <v>© 2026 Responsible Minerals Initiative. All rights reserved.</v>
      </c>
      <c r="C29" s="401"/>
      <c r="D29" s="402"/>
      <c r="E29" s="178"/>
    </row>
    <row r="30" spans="1:5" ht="13.5" thickBot="1">
      <c r="A30" s="179"/>
      <c r="B30" s="180"/>
      <c r="C30" s="180"/>
      <c r="D30" s="403"/>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I13" sqref="I1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2"/>
      <c r="B1" s="443"/>
      <c r="C1" s="443"/>
      <c r="D1" s="443"/>
      <c r="E1" s="443"/>
      <c r="F1" s="443"/>
      <c r="G1" s="443"/>
      <c r="H1" s="443"/>
      <c r="I1" s="443"/>
      <c r="J1" s="443"/>
      <c r="K1" s="444"/>
      <c r="L1" s="101"/>
      <c r="P1" s="2"/>
      <c r="Q1" s="2"/>
      <c r="R1" s="2"/>
      <c r="S1" s="2"/>
      <c r="T1" s="2"/>
      <c r="U1" s="2"/>
      <c r="V1" s="2"/>
      <c r="W1" s="2"/>
      <c r="X1" s="2"/>
      <c r="Y1" s="2"/>
      <c r="Z1" s="2"/>
      <c r="AA1" s="2"/>
      <c r="AB1" s="2"/>
      <c r="AC1" s="2"/>
      <c r="AD1" s="2"/>
      <c r="AE1" s="2"/>
      <c r="AF1" s="2"/>
      <c r="AG1" s="2"/>
      <c r="AH1" s="2"/>
    </row>
    <row r="2" spans="1:34" ht="81.75" customHeight="1">
      <c r="A2" s="27"/>
      <c r="B2" s="281"/>
      <c r="C2" s="28"/>
      <c r="D2" s="445" t="str">
        <f ca="1">OFFSET(L!$C$1,MATCH("Declaration"&amp;ADDRESS(ROW(),COLUMN(),4),L!$A:$A,0)-1,SL,,)</f>
        <v>Extended Minerals Reporting Template (EMRT)</v>
      </c>
      <c r="E2" s="446"/>
      <c r="F2" s="446"/>
      <c r="G2" s="446"/>
      <c r="H2" s="446"/>
      <c r="I2" s="446"/>
      <c r="J2" s="447"/>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6"/>
      <c r="F3" s="427"/>
      <c r="G3" s="427"/>
      <c r="H3" s="427"/>
      <c r="I3" s="427"/>
      <c r="J3" s="383" t="s">
        <v>19553</v>
      </c>
      <c r="K3" s="29"/>
      <c r="L3" s="101"/>
      <c r="P3" s="38">
        <f>MATCH($D$3,LN,0)</f>
        <v>1</v>
      </c>
    </row>
    <row r="4" spans="1:34" ht="15.75">
      <c r="A4" s="27"/>
      <c r="B4" s="451" t="str">
        <f ca="1">OFFSET(L!$C$1,MATCH("Declaration"&amp;ADDRESS(ROW(),COLUMN(),4),L!$A:$A,0)-1,SL,,)</f>
        <v>The purpose of this document is to collect sourcing information on below minerals.</v>
      </c>
      <c r="C4" s="451"/>
      <c r="D4" s="451"/>
      <c r="E4" s="451"/>
      <c r="F4" s="451"/>
      <c r="G4" s="451"/>
      <c r="H4" s="451"/>
      <c r="I4" s="455" t="str">
        <f ca="1">OFFSET(L!$C$1,MATCH("Declaration"&amp;ADDRESS(ROW(),COLUMN(),4),L!$A:$A,0)-1,SL,,)</f>
        <v>Link to Terms &amp; Conditions</v>
      </c>
      <c r="J4" s="455"/>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29"/>
      <c r="L6" s="103" t="s">
        <v>18</v>
      </c>
      <c r="P6" s="2"/>
      <c r="Q6" s="2"/>
      <c r="R6" s="2"/>
      <c r="S6" s="2"/>
      <c r="T6" s="2"/>
      <c r="U6" s="2"/>
      <c r="V6" s="2"/>
      <c r="W6" s="2"/>
      <c r="X6" s="2"/>
      <c r="Y6" s="2"/>
      <c r="Z6" s="2"/>
      <c r="AA6" s="2"/>
      <c r="AB6" s="2"/>
      <c r="AC6" s="2"/>
      <c r="AD6" s="2"/>
      <c r="AE6" s="2"/>
      <c r="AF6" s="2"/>
      <c r="AG6" s="2"/>
      <c r="AH6" s="2"/>
    </row>
    <row r="7" spans="1:34" ht="15.75">
      <c r="A7" s="27"/>
      <c r="B7" s="456" t="str">
        <f ca="1">OFFSET(L!$C$1,MATCH("Declaration"&amp;ADDRESS(ROW(),COLUMN(),4),L!$A:$A,0)-1,SL,,)</f>
        <v>Company Information</v>
      </c>
      <c r="C7" s="456"/>
      <c r="D7" s="456"/>
      <c r="E7" s="456"/>
      <c r="F7" s="456"/>
      <c r="G7" s="456"/>
      <c r="H7" s="456"/>
      <c r="I7" s="456"/>
      <c r="J7" s="456"/>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8" t="s">
        <v>20352</v>
      </c>
      <c r="E8" s="449"/>
      <c r="F8" s="449"/>
      <c r="G8" s="449"/>
      <c r="H8" s="449"/>
      <c r="I8" s="449"/>
      <c r="J8" s="450"/>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2" t="s">
        <v>20</v>
      </c>
      <c r="E9" s="433"/>
      <c r="F9" s="433"/>
      <c r="G9" s="434"/>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Go to Product List tab to enter products this declaration applies to</v>
      </c>
      <c r="C10" s="111"/>
      <c r="D10" s="452"/>
      <c r="E10" s="453"/>
      <c r="F10" s="453"/>
      <c r="G10" s="453"/>
      <c r="H10" s="453"/>
      <c r="I10" s="453"/>
      <c r="J10" s="454"/>
      <c r="K10" s="29"/>
      <c r="L10" s="103"/>
      <c r="Q10" s="2"/>
      <c r="R10" s="2"/>
      <c r="S10" s="2"/>
      <c r="T10" s="2"/>
      <c r="U10" s="2"/>
      <c r="V10" s="2"/>
      <c r="W10" s="2"/>
      <c r="X10" s="2"/>
      <c r="Y10" s="2"/>
      <c r="Z10" s="2"/>
      <c r="AA10" s="2"/>
      <c r="AB10" s="2"/>
      <c r="AC10" s="2"/>
      <c r="AD10" s="2"/>
      <c r="AE10" s="2"/>
      <c r="AF10" s="2"/>
      <c r="AG10" s="2"/>
      <c r="AH10" s="2"/>
    </row>
    <row r="11" spans="1:34" ht="15.75">
      <c r="A11" s="31"/>
      <c r="B11" s="458"/>
      <c r="C11" s="111"/>
      <c r="D11" s="459" t="str">
        <f ca="1">IF(D9=Q9,OFFSET(L!$C$1,MATCH("Declaration"&amp;ADDRESS(ROW(),COLUMN(),4),L!$A:$A,0)-1,SL,,),"")</f>
        <v>Click here to enter the products this declaration applies to</v>
      </c>
      <c r="E11" s="460"/>
      <c r="F11" s="460"/>
      <c r="G11" s="460"/>
      <c r="H11" s="460"/>
      <c r="I11" s="460"/>
      <c r="J11" s="461"/>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62" t="s">
        <v>18108</v>
      </c>
      <c r="F12" s="463"/>
      <c r="G12" s="370" t="s">
        <v>18597</v>
      </c>
      <c r="H12" s="295"/>
      <c r="I12" s="295"/>
      <c r="J12" s="295"/>
      <c r="K12" s="29"/>
      <c r="L12" s="103"/>
      <c r="P12" s="293" t="str">
        <f>IF(ISBLANK(D12),"",IF(D12="(Delete Cobalt)",IF(ISBLANK(D14),"",D14),D12))</f>
        <v>Cobalt</v>
      </c>
      <c r="Q12" s="294" t="str">
        <f>IF(P13="",P12,IF(P12="",P13,IF(P12&gt;P13,P13,P12)))</f>
        <v>Cobalt</v>
      </c>
      <c r="R12" s="294" t="str">
        <f>Q12</f>
        <v>Cobalt</v>
      </c>
      <c r="S12" s="294" t="str">
        <f>IF(R13="",R12,IF(R12="",R13,IF(R12&gt;R13,R13,R12)))</f>
        <v>Cobalt</v>
      </c>
      <c r="T12" s="294" t="str">
        <f>S12</f>
        <v>Cobalt</v>
      </c>
      <c r="U12" s="294" t="str">
        <f>IF(T13="",T12,IF(T12="",T13,IF(T12&gt;T13,T13,T12)))</f>
        <v>Cobalt</v>
      </c>
      <c r="V12" s="294" t="str">
        <f>U12</f>
        <v>Cobalt</v>
      </c>
      <c r="W12" s="294" t="str">
        <f>IF(V13="",V12,IF(V12="",V13,IF(V12&gt;V13,V13,V12)))</f>
        <v>Cobalt</v>
      </c>
      <c r="X12" s="294" t="str">
        <f>W12</f>
        <v>Cobalt</v>
      </c>
      <c r="Y12" s="294" t="str">
        <f>IF(X13="",X12,IF(X12="",X13,IF(X12&gt;X13,X13,X12)))</f>
        <v>Cobalt</v>
      </c>
      <c r="Z12" s="294" t="str">
        <f>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62" t="s">
        <v>18599</v>
      </c>
      <c r="F13" s="463"/>
      <c r="G13" s="370" t="s">
        <v>18109</v>
      </c>
      <c r="H13" s="296"/>
      <c r="I13" s="296"/>
      <c r="J13" s="296"/>
      <c r="K13" s="29"/>
      <c r="L13" s="103"/>
      <c r="P13" s="293" t="str">
        <f>IF(ISBLANK(E12),"",IF(E12="(Delete Copper)",IF(ISBLANK(E14),"",E14),E12))</f>
        <v>Copper</v>
      </c>
      <c r="Q13" s="294" t="str">
        <f>IF(P13="",P13,IF(P12="",P12,IF(P12&gt;P13,P12,P13)))</f>
        <v>Copper</v>
      </c>
      <c r="R13" s="294" t="str">
        <f t="shared" ref="R13:Z13" si="0">IF(Q14="",Q13,IF(Q13="",Q14,IF(Q13&gt;Q14,Q14,Q13)))</f>
        <v>Copper</v>
      </c>
      <c r="S13" s="294" t="str">
        <f>IF(R13="",R13,IF(R12="",R12,IF(R12&gt;R13,R12,R13)))</f>
        <v>Copper</v>
      </c>
      <c r="T13" s="294" t="str">
        <f t="shared" si="0"/>
        <v>Copper</v>
      </c>
      <c r="U13" s="294" t="str">
        <f>IF(T13="",T13,IF(T12="",T12,IF(T12&gt;T13,T12,T13)))</f>
        <v>Copper</v>
      </c>
      <c r="V13" s="294" t="str">
        <f t="shared" si="0"/>
        <v>Copper</v>
      </c>
      <c r="W13" s="294" t="str">
        <f>IF(V13="",V13,IF(V12="",V12,IF(V12&gt;V13,V12,V13)))</f>
        <v>Copper</v>
      </c>
      <c r="X13" s="294" t="str">
        <f t="shared" si="0"/>
        <v>Copper</v>
      </c>
      <c r="Y13" s="294" t="str">
        <f>IF(X13="",X13,IF(X12="",X12,IF(X12&gt;X13,X12,X13)))</f>
        <v>Copper</v>
      </c>
      <c r="Z13" s="294" t="str">
        <f t="shared" si="0"/>
        <v>Copper</v>
      </c>
      <c r="AA13" s="294" t="str" cm="1">
        <f t="array" ref="AA13">_xlfn.IFNA(INDEX($Z$12:$Z$21,MATCH(0,COUNTIF($AA$12:$AA12,$Z$12:$Z$21),0)),"")</f>
        <v>Copper</v>
      </c>
      <c r="AB13" s="2"/>
      <c r="AC13" s="2"/>
      <c r="AD13" s="2"/>
      <c r="AE13" s="2"/>
      <c r="AF13" s="2"/>
      <c r="AG13" s="2"/>
    </row>
    <row r="14" spans="1:34" ht="15.75">
      <c r="A14" s="31"/>
      <c r="B14" s="464"/>
      <c r="C14" s="111"/>
      <c r="D14" s="296"/>
      <c r="E14" s="466"/>
      <c r="F14" s="467"/>
      <c r="G14" s="296"/>
      <c r="H14" s="296"/>
      <c r="I14" s="296"/>
      <c r="J14" s="296"/>
      <c r="K14" s="29"/>
      <c r="L14" s="103"/>
      <c r="P14" s="293" t="str">
        <f>IF(ISBLANK(G12),"",IF(G12="(Delete Graphite)",IF(ISBLANK(G14),"",G14),G12))</f>
        <v/>
      </c>
      <c r="Q14" s="294" t="str">
        <f t="shared" ref="Q14:Y14" si="1">IF(P15="",P14,IF(P14="",P15,IF(P14&gt;P15,P15,P14)))</f>
        <v/>
      </c>
      <c r="R14" s="294" t="str">
        <f t="shared" ref="R14:Z14" si="2">IF(Q14="",Q14,IF(Q13="",Q13,IF(Q13&gt;Q14,Q13,Q14)))</f>
        <v/>
      </c>
      <c r="S14" s="294" t="str">
        <f t="shared" si="1"/>
        <v/>
      </c>
      <c r="T14" s="294" t="str">
        <f t="shared" si="2"/>
        <v/>
      </c>
      <c r="U14" s="294" t="str">
        <f t="shared" si="1"/>
        <v>Nickel</v>
      </c>
      <c r="V14" s="294" t="str">
        <f t="shared" si="2"/>
        <v>Nickel</v>
      </c>
      <c r="W14" s="294" t="str">
        <f t="shared" si="1"/>
        <v>Nickel</v>
      </c>
      <c r="X14" s="294" t="str">
        <f t="shared" si="2"/>
        <v>Nickel</v>
      </c>
      <c r="Y14" s="294" t="str">
        <f t="shared" si="1"/>
        <v>Nickel</v>
      </c>
      <c r="Z14" s="294" t="str">
        <f t="shared" si="2"/>
        <v>Nickel</v>
      </c>
      <c r="AA14" s="294" t="str" cm="1">
        <f t="array" ref="AA14">_xlfn.IFNA(INDEX($Z$12:$Z$21,MATCH(0,COUNTIF($AA$12:$AA13,$Z$12:$Z$21),0)),"")</f>
        <v>Nickel</v>
      </c>
      <c r="AB14" s="2"/>
      <c r="AC14" s="2"/>
      <c r="AD14" s="2"/>
      <c r="AE14" s="2"/>
      <c r="AF14" s="2"/>
      <c r="AG14" s="2"/>
    </row>
    <row r="15" spans="1:34" ht="15.75">
      <c r="A15" s="31"/>
      <c r="B15" s="465"/>
      <c r="C15" s="111"/>
      <c r="D15" s="296"/>
      <c r="E15" s="466"/>
      <c r="F15" s="467"/>
      <c r="G15" s="296"/>
      <c r="H15" s="296"/>
      <c r="I15" s="296"/>
      <c r="J15" s="296"/>
      <c r="K15" s="29"/>
      <c r="L15" s="103"/>
      <c r="P15" s="293" t="str">
        <f>IF(ISBLANK(H12),"",IF(H12="(Delete)",IF(ISBLANK(H14),"",H14),H12))</f>
        <v/>
      </c>
      <c r="Q15" s="294" t="str">
        <f t="shared" ref="Q15:Y15" si="3">IF(P15="",P15,IF(P14="",P14,IF(P14&gt;P15,P14,P15)))</f>
        <v/>
      </c>
      <c r="R15" s="294" t="str">
        <f t="shared" ref="R15:Z15" si="4">IF(Q16="",Q15,IF(Q15="",Q16,IF(Q15&gt;Q16,Q16,Q15)))</f>
        <v/>
      </c>
      <c r="S15" s="294" t="str">
        <f t="shared" si="3"/>
        <v/>
      </c>
      <c r="T15" s="294" t="str">
        <f t="shared" si="4"/>
        <v>Nickel</v>
      </c>
      <c r="U15" s="294" t="str">
        <f t="shared" si="3"/>
        <v/>
      </c>
      <c r="V15" s="294" t="str">
        <f t="shared" si="4"/>
        <v/>
      </c>
      <c r="W15" s="294" t="str">
        <f t="shared" si="3"/>
        <v/>
      </c>
      <c r="X15" s="294" t="str">
        <f t="shared" si="4"/>
        <v/>
      </c>
      <c r="Y15" s="294" t="str">
        <f t="shared" si="3"/>
        <v/>
      </c>
      <c r="Z15" s="294" t="str">
        <f t="shared" si="4"/>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9"/>
      <c r="E16" s="430"/>
      <c r="F16" s="430"/>
      <c r="G16" s="430"/>
      <c r="H16" s="430"/>
      <c r="I16" s="430"/>
      <c r="J16" s="431"/>
      <c r="K16" s="29"/>
      <c r="L16" s="103"/>
      <c r="P16" s="293" t="str">
        <f>IF(ISBLANK(I12),"",IF(I12="(Delete)",IF(ISBLANK(I14),"",I14),I12))</f>
        <v/>
      </c>
      <c r="Q16" s="294" t="str">
        <f t="shared" ref="Q16:Y16" si="5">IF(P17="",P16,IF(P16="",P17,IF(P16&gt;P17,P17,P16)))</f>
        <v/>
      </c>
      <c r="R16" s="294" t="str">
        <f t="shared" ref="R16:Z16" si="6">IF(Q16="",Q16,IF(Q15="",Q15,IF(Q15&gt;Q16,Q15,Q16)))</f>
        <v/>
      </c>
      <c r="S16" s="294" t="str">
        <f t="shared" si="5"/>
        <v>Nickel</v>
      </c>
      <c r="T16" s="294" t="str">
        <f t="shared" si="6"/>
        <v/>
      </c>
      <c r="U16" s="294" t="str">
        <f t="shared" si="5"/>
        <v/>
      </c>
      <c r="V16" s="294" t="str">
        <f t="shared" si="6"/>
        <v/>
      </c>
      <c r="W16" s="294" t="str">
        <f t="shared" si="5"/>
        <v/>
      </c>
      <c r="X16" s="294" t="str">
        <f t="shared" si="6"/>
        <v/>
      </c>
      <c r="Y16" s="294" t="str">
        <f t="shared" si="5"/>
        <v/>
      </c>
      <c r="Z16" s="294" t="str">
        <f t="shared" si="6"/>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9"/>
      <c r="E17" s="430"/>
      <c r="F17" s="430"/>
      <c r="G17" s="430"/>
      <c r="H17" s="430"/>
      <c r="I17" s="430"/>
      <c r="J17" s="431"/>
      <c r="K17" s="29"/>
      <c r="L17" s="103"/>
      <c r="P17" s="293" t="str">
        <f>IF(ISBLANK(D13),"",IF(D13="(Delete Lithium)",IF(ISBLANK(D15),"",D15),D13))</f>
        <v/>
      </c>
      <c r="Q17" s="294" t="str">
        <f t="shared" ref="Q17:Y17" si="7">IF(P17="",P17,IF(P16="",P16,IF(P16&gt;P17,P16,P17)))</f>
        <v/>
      </c>
      <c r="R17" s="294" t="str">
        <f t="shared" ref="R17:Z17" si="8">IF(Q18="",Q17,IF(Q17="",Q18,IF(Q17&gt;Q18,Q18,Q17)))</f>
        <v>Nickel</v>
      </c>
      <c r="S17" s="294" t="str">
        <f t="shared" si="7"/>
        <v/>
      </c>
      <c r="T17" s="294" t="str">
        <f t="shared" si="8"/>
        <v/>
      </c>
      <c r="U17" s="294" t="str">
        <f t="shared" si="7"/>
        <v/>
      </c>
      <c r="V17" s="294" t="str">
        <f t="shared" si="8"/>
        <v/>
      </c>
      <c r="W17" s="294" t="str">
        <f t="shared" si="7"/>
        <v/>
      </c>
      <c r="X17" s="294" t="str">
        <f t="shared" si="8"/>
        <v/>
      </c>
      <c r="Y17" s="294" t="str">
        <f t="shared" si="7"/>
        <v/>
      </c>
      <c r="Z17" s="294" t="str">
        <f t="shared" si="8"/>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9" t="s">
        <v>20353</v>
      </c>
      <c r="E18" s="430"/>
      <c r="F18" s="430"/>
      <c r="G18" s="430"/>
      <c r="H18" s="430"/>
      <c r="I18" s="430"/>
      <c r="J18" s="431"/>
      <c r="K18" s="29"/>
      <c r="L18" s="103"/>
      <c r="P18" s="293" t="str">
        <f>IF(ISBLANK(E13),"",IF(E13="(Delete Mica)",IF(ISBLANK(E15),"",E15),E13))</f>
        <v/>
      </c>
      <c r="Q18" s="294" t="str">
        <f t="shared" ref="Q18:Y18" si="9">IF(P19="",P18,IF(P18="",P19,IF(P18&gt;P19,P19,P18)))</f>
        <v>Nickel</v>
      </c>
      <c r="R18" s="294" t="str">
        <f t="shared" ref="R18:Z18" si="10">IF(Q18="",Q18,IF(Q17="",Q17,IF(Q17&gt;Q18,Q17,Q18)))</f>
        <v/>
      </c>
      <c r="S18" s="294" t="str">
        <f t="shared" si="9"/>
        <v/>
      </c>
      <c r="T18" s="294" t="str">
        <f t="shared" si="10"/>
        <v/>
      </c>
      <c r="U18" s="294" t="str">
        <f t="shared" si="9"/>
        <v/>
      </c>
      <c r="V18" s="294" t="str">
        <f t="shared" si="10"/>
        <v/>
      </c>
      <c r="W18" s="294" t="str">
        <f t="shared" si="9"/>
        <v/>
      </c>
      <c r="X18" s="294" t="str">
        <f t="shared" si="10"/>
        <v/>
      </c>
      <c r="Y18" s="294" t="str">
        <f t="shared" si="9"/>
        <v/>
      </c>
      <c r="Z18" s="294" t="str">
        <f t="shared" si="10"/>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9" t="s">
        <v>20354</v>
      </c>
      <c r="E19" s="430"/>
      <c r="F19" s="430"/>
      <c r="G19" s="430"/>
      <c r="H19" s="430"/>
      <c r="I19" s="430"/>
      <c r="J19" s="431"/>
      <c r="K19" s="29"/>
      <c r="L19" s="103"/>
      <c r="P19" s="293" t="str">
        <f>IF(ISBLANK(G13),"",IF(G13="(Delete Nickel)",IF(ISBLANK(G15),"",G15),G13))</f>
        <v>Nickel</v>
      </c>
      <c r="Q19" s="294" t="str">
        <f t="shared" ref="Q19:Y19" si="11">IF(P19="",P19,IF(P18="",P18,IF(P18&gt;P19,P18,P19)))</f>
        <v/>
      </c>
      <c r="R19" s="294" t="str">
        <f t="shared" ref="R19:Z19" si="12">IF(Q20="",Q19,IF(Q19="",Q20,IF(Q19&gt;Q20,Q20,Q19)))</f>
        <v/>
      </c>
      <c r="S19" s="294" t="str">
        <f t="shared" si="11"/>
        <v/>
      </c>
      <c r="T19" s="294" t="str">
        <f t="shared" si="12"/>
        <v/>
      </c>
      <c r="U19" s="294" t="str">
        <f t="shared" si="11"/>
        <v/>
      </c>
      <c r="V19" s="294" t="str">
        <f t="shared" si="12"/>
        <v/>
      </c>
      <c r="W19" s="294" t="str">
        <f t="shared" si="11"/>
        <v/>
      </c>
      <c r="X19" s="294" t="str">
        <f t="shared" si="12"/>
        <v/>
      </c>
      <c r="Y19" s="294" t="str">
        <f t="shared" si="11"/>
        <v/>
      </c>
      <c r="Z19" s="294" t="str">
        <f t="shared" si="12"/>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7" t="s">
        <v>20355</v>
      </c>
      <c r="E20" s="438"/>
      <c r="F20" s="438"/>
      <c r="G20" s="438"/>
      <c r="H20" s="438"/>
      <c r="I20" s="438"/>
      <c r="J20" s="439"/>
      <c r="K20" s="29"/>
      <c r="L20" s="103"/>
      <c r="P20" s="293" t="str">
        <f>IF(ISBLANK(H13),"",IF(H13="(Delete)",IF(ISBLANK(H15),"",H15),H13))</f>
        <v/>
      </c>
      <c r="Q20" s="294" t="str">
        <f t="shared" ref="Q20:Y20" si="13">IF(P21="",P20,IF(P20="",P21,IF(P20&gt;P21,P21,P20)))</f>
        <v/>
      </c>
      <c r="R20" s="294" t="str">
        <f t="shared" ref="R20:Z20" si="14">IF(Q20="",Q20,IF(Q19="",Q19,IF(Q19&gt;Q20,Q19,Q20)))</f>
        <v/>
      </c>
      <c r="S20" s="294" t="str">
        <f t="shared" si="13"/>
        <v/>
      </c>
      <c r="T20" s="294" t="str">
        <f t="shared" si="14"/>
        <v/>
      </c>
      <c r="U20" s="294" t="str">
        <f t="shared" si="13"/>
        <v/>
      </c>
      <c r="V20" s="294" t="str">
        <f t="shared" si="14"/>
        <v/>
      </c>
      <c r="W20" s="294" t="str">
        <f t="shared" si="13"/>
        <v/>
      </c>
      <c r="X20" s="294" t="str">
        <f t="shared" si="14"/>
        <v/>
      </c>
      <c r="Y20" s="294" t="str">
        <f t="shared" si="13"/>
        <v/>
      </c>
      <c r="Z20" s="294" t="str">
        <f t="shared" si="14"/>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9" t="s">
        <v>20356</v>
      </c>
      <c r="E21" s="430"/>
      <c r="F21" s="430"/>
      <c r="G21" s="430"/>
      <c r="H21" s="430"/>
      <c r="I21" s="430"/>
      <c r="J21" s="431"/>
      <c r="K21" s="29"/>
      <c r="L21" s="103"/>
      <c r="P21" s="293" t="str">
        <f>IF(ISBLANK(I13),"",IF(I13="(Delete)",IF(ISBLANK(I15),"",I15),I13))</f>
        <v/>
      </c>
      <c r="Q21" s="294" t="str">
        <f t="shared" ref="Q21:Y21" si="15">IF(P21="",P21,IF(P20="",P20,IF(P20&gt;P21,P20,P21)))</f>
        <v/>
      </c>
      <c r="R21" s="294" t="str">
        <f>Q21</f>
        <v/>
      </c>
      <c r="S21" s="294" t="str">
        <f t="shared" si="15"/>
        <v/>
      </c>
      <c r="T21" s="294" t="str">
        <f>S21</f>
        <v/>
      </c>
      <c r="U21" s="294" t="str">
        <f t="shared" si="15"/>
        <v/>
      </c>
      <c r="V21" s="294" t="str">
        <f>U21</f>
        <v/>
      </c>
      <c r="W21" s="294" t="str">
        <f t="shared" si="15"/>
        <v/>
      </c>
      <c r="X21" s="294" t="str">
        <f>W21</f>
        <v/>
      </c>
      <c r="Y21" s="294" t="str">
        <f t="shared" si="15"/>
        <v/>
      </c>
      <c r="Z21" s="294" t="str">
        <f>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9" t="s">
        <v>20357</v>
      </c>
      <c r="E22" s="430"/>
      <c r="F22" s="430"/>
      <c r="G22" s="430"/>
      <c r="H22" s="430"/>
      <c r="I22" s="430"/>
      <c r="J22" s="431"/>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6"/>
      <c r="D23" s="429" t="s">
        <v>20358</v>
      </c>
      <c r="E23" s="430"/>
      <c r="F23" s="430"/>
      <c r="G23" s="430"/>
      <c r="H23" s="430"/>
      <c r="I23" s="430"/>
      <c r="J23" s="431"/>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6"/>
      <c r="D24" s="437" t="s">
        <v>20359</v>
      </c>
      <c r="E24" s="438"/>
      <c r="F24" s="438"/>
      <c r="G24" s="438"/>
      <c r="H24" s="438"/>
      <c r="I24" s="438"/>
      <c r="J24" s="439"/>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9" t="s">
        <v>20360</v>
      </c>
      <c r="E25" s="430"/>
      <c r="F25" s="430"/>
      <c r="G25" s="430"/>
      <c r="H25" s="430"/>
      <c r="I25" s="430"/>
      <c r="J25" s="431"/>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0">
        <v>46177</v>
      </c>
      <c r="E26" s="44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7" t="str">
        <f ca="1">OFFSET(L!$C$1,MATCH("Declaration"&amp;ADDRESS(ROW(),COLUMN(),4),L!$A:$A,0)-1,SL,,)</f>
        <v>Answer</v>
      </c>
      <c r="E29" s="41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16">IF(COUNTBLANK(AA12),"",AA12&amp;"(*)")</f>
        <v>Cobalt(*)</v>
      </c>
      <c r="C30" s="28"/>
      <c r="D30" s="408" t="s">
        <v>25</v>
      </c>
      <c r="E30" s="409"/>
      <c r="F30" s="8"/>
      <c r="G30" s="410" t="s">
        <v>20361</v>
      </c>
      <c r="H30" s="411"/>
      <c r="I30" s="411"/>
      <c r="J30" s="412"/>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16"/>
        <v>Copper(*)</v>
      </c>
      <c r="C31" s="28"/>
      <c r="D31" s="408" t="s">
        <v>25</v>
      </c>
      <c r="E31" s="409"/>
      <c r="F31" s="8"/>
      <c r="G31" s="410" t="s">
        <v>20362</v>
      </c>
      <c r="H31" s="411"/>
      <c r="I31" s="411"/>
      <c r="J31" s="412"/>
      <c r="K31" s="29"/>
      <c r="L31" s="104"/>
      <c r="M31">
        <f t="shared" ref="M31:M39" si="17">IF(AND(B31="",D31&lt;&gt;""),1,0)</f>
        <v>0</v>
      </c>
      <c r="O31" s="38" t="str">
        <f t="shared" ref="O31:O39" si="18">IF(B31="","","(*)")</f>
        <v>(*)</v>
      </c>
      <c r="P31" s="38" t="str">
        <f t="shared" ref="P31:P39" si="19">IF(D31="Yes","(*)","")</f>
        <v>(*)</v>
      </c>
      <c r="Q31" s="38" t="str">
        <f t="shared" ref="Q31:Q39" si="20">IF(D43="Yes","(*)","")</f>
        <v>(*)</v>
      </c>
      <c r="R31" s="2"/>
      <c r="S31" s="2"/>
      <c r="T31" s="2"/>
      <c r="U31" s="2"/>
      <c r="V31" s="2"/>
      <c r="W31" s="2"/>
      <c r="X31" s="2"/>
      <c r="Y31" s="2"/>
      <c r="Z31" s="2"/>
      <c r="AA31" s="2"/>
      <c r="AB31" s="2"/>
      <c r="AC31" s="2"/>
      <c r="AD31" s="2"/>
      <c r="AE31" s="2"/>
      <c r="AF31" s="2"/>
      <c r="AG31" s="2"/>
    </row>
    <row r="32" spans="1:33" ht="22.5">
      <c r="A32" s="34"/>
      <c r="B32" s="297" t="str">
        <f t="shared" si="16"/>
        <v>Nickel(*)</v>
      </c>
      <c r="C32" s="28"/>
      <c r="D32" s="408" t="s">
        <v>25</v>
      </c>
      <c r="E32" s="409"/>
      <c r="F32" s="8"/>
      <c r="G32" s="410" t="s">
        <v>20363</v>
      </c>
      <c r="H32" s="411"/>
      <c r="I32" s="411"/>
      <c r="J32" s="412"/>
      <c r="K32" s="29"/>
      <c r="L32" s="104"/>
      <c r="M32">
        <f t="shared" si="17"/>
        <v>0</v>
      </c>
      <c r="O32" s="38" t="str">
        <f t="shared" si="18"/>
        <v>(*)</v>
      </c>
      <c r="P32" s="38" t="str">
        <f t="shared" si="19"/>
        <v>(*)</v>
      </c>
      <c r="Q32" s="38" t="str">
        <f t="shared" si="20"/>
        <v>(*)</v>
      </c>
      <c r="R32" s="2"/>
      <c r="S32" s="2"/>
      <c r="T32" s="2"/>
      <c r="U32" s="2"/>
      <c r="V32" s="2"/>
      <c r="W32" s="2"/>
      <c r="X32" s="2"/>
      <c r="Y32" s="2"/>
      <c r="Z32" s="2"/>
      <c r="AA32" s="2"/>
      <c r="AB32" s="2"/>
      <c r="AC32" s="2"/>
      <c r="AD32" s="2"/>
      <c r="AE32" s="2"/>
      <c r="AF32" s="2"/>
      <c r="AG32" s="2"/>
    </row>
    <row r="33" spans="1:33" ht="22.5">
      <c r="A33" s="34"/>
      <c r="B33" s="297" t="str">
        <f t="shared" si="16"/>
        <v/>
      </c>
      <c r="C33" s="28"/>
      <c r="D33" s="408"/>
      <c r="E33" s="409"/>
      <c r="F33" s="8"/>
      <c r="G33" s="410"/>
      <c r="H33" s="411"/>
      <c r="I33" s="411"/>
      <c r="J33" s="412"/>
      <c r="K33" s="29"/>
      <c r="L33" s="104"/>
      <c r="M33">
        <f t="shared" si="17"/>
        <v>0</v>
      </c>
      <c r="O33" s="38" t="str">
        <f t="shared" si="18"/>
        <v/>
      </c>
      <c r="P33" s="38" t="str">
        <f t="shared" si="19"/>
        <v/>
      </c>
      <c r="Q33" s="38" t="str">
        <f t="shared" si="20"/>
        <v/>
      </c>
      <c r="R33" s="2"/>
      <c r="S33" s="2"/>
      <c r="T33" s="2"/>
      <c r="U33" s="2"/>
      <c r="V33" s="2"/>
      <c r="W33" s="2"/>
      <c r="X33" s="2"/>
      <c r="Y33" s="2"/>
      <c r="Z33" s="2"/>
      <c r="AA33" s="2"/>
      <c r="AB33" s="2"/>
      <c r="AC33" s="2"/>
      <c r="AD33" s="2"/>
      <c r="AE33" s="2"/>
      <c r="AF33" s="2"/>
      <c r="AG33" s="2"/>
    </row>
    <row r="34" spans="1:33" ht="22.5">
      <c r="A34" s="34"/>
      <c r="B34" s="297" t="str">
        <f t="shared" si="16"/>
        <v/>
      </c>
      <c r="C34" s="28"/>
      <c r="D34" s="408"/>
      <c r="E34" s="409"/>
      <c r="F34" s="8"/>
      <c r="G34" s="410"/>
      <c r="H34" s="411"/>
      <c r="I34" s="411"/>
      <c r="J34" s="412"/>
      <c r="K34" s="29"/>
      <c r="L34" s="104"/>
      <c r="M34">
        <f t="shared" si="17"/>
        <v>0</v>
      </c>
      <c r="O34" s="38" t="str">
        <f t="shared" si="18"/>
        <v/>
      </c>
      <c r="P34" s="38" t="str">
        <f t="shared" si="19"/>
        <v/>
      </c>
      <c r="Q34" s="38" t="str">
        <f t="shared" si="20"/>
        <v/>
      </c>
      <c r="R34" s="2"/>
      <c r="S34" s="2"/>
      <c r="T34" s="2"/>
      <c r="U34" s="2"/>
      <c r="V34" s="2"/>
      <c r="W34" s="2"/>
      <c r="X34" s="2"/>
      <c r="Y34" s="2"/>
      <c r="Z34" s="2"/>
      <c r="AA34" s="2"/>
      <c r="AB34" s="2"/>
      <c r="AC34" s="2"/>
      <c r="AD34" s="2"/>
      <c r="AE34" s="2"/>
      <c r="AF34" s="2"/>
      <c r="AG34" s="2"/>
    </row>
    <row r="35" spans="1:33" ht="23.1" customHeight="1">
      <c r="A35" s="34"/>
      <c r="B35" s="297" t="str">
        <f t="shared" si="16"/>
        <v/>
      </c>
      <c r="C35" s="28"/>
      <c r="D35" s="408"/>
      <c r="E35" s="409"/>
      <c r="F35" s="8"/>
      <c r="G35" s="410"/>
      <c r="H35" s="411"/>
      <c r="I35" s="411"/>
      <c r="J35" s="412"/>
      <c r="K35" s="29"/>
      <c r="L35" s="104"/>
      <c r="M35">
        <f t="shared" si="17"/>
        <v>0</v>
      </c>
      <c r="O35" s="38" t="str">
        <f t="shared" si="18"/>
        <v/>
      </c>
      <c r="P35" s="38" t="str">
        <f t="shared" si="19"/>
        <v/>
      </c>
      <c r="Q35" s="38" t="str">
        <f t="shared" si="20"/>
        <v/>
      </c>
      <c r="R35" s="2"/>
      <c r="S35" s="2"/>
      <c r="T35" s="2"/>
      <c r="U35" s="2"/>
      <c r="V35" s="2"/>
      <c r="W35" s="2"/>
      <c r="X35" s="2"/>
      <c r="Y35" s="2"/>
      <c r="Z35" s="2"/>
      <c r="AA35" s="2"/>
      <c r="AB35" s="2"/>
      <c r="AC35" s="2"/>
      <c r="AD35" s="2"/>
      <c r="AE35" s="2"/>
      <c r="AF35" s="2"/>
      <c r="AG35" s="2"/>
    </row>
    <row r="36" spans="1:33" ht="23.1" hidden="1" customHeight="1">
      <c r="A36" s="34"/>
      <c r="B36" s="297" t="str">
        <f t="shared" si="16"/>
        <v/>
      </c>
      <c r="C36" s="28"/>
      <c r="D36" s="408"/>
      <c r="E36" s="409"/>
      <c r="F36" s="8"/>
      <c r="G36" s="410"/>
      <c r="H36" s="411"/>
      <c r="I36" s="411"/>
      <c r="J36" s="412"/>
      <c r="K36" s="29"/>
      <c r="L36" s="104"/>
      <c r="M36">
        <f t="shared" si="17"/>
        <v>0</v>
      </c>
      <c r="O36" s="38" t="str">
        <f t="shared" si="18"/>
        <v/>
      </c>
      <c r="P36" s="38" t="str">
        <f t="shared" si="19"/>
        <v/>
      </c>
      <c r="Q36" s="38" t="str">
        <f t="shared" si="20"/>
        <v/>
      </c>
      <c r="R36" s="2"/>
      <c r="S36" s="2"/>
      <c r="T36" s="2"/>
      <c r="U36" s="2"/>
      <c r="V36" s="2"/>
      <c r="W36" s="2"/>
      <c r="X36" s="2"/>
      <c r="Y36" s="2"/>
      <c r="Z36" s="2"/>
      <c r="AA36" s="2"/>
      <c r="AB36" s="2"/>
      <c r="AC36" s="2"/>
      <c r="AD36" s="2"/>
      <c r="AE36" s="2"/>
      <c r="AF36" s="2"/>
      <c r="AG36" s="2"/>
    </row>
    <row r="37" spans="1:33" ht="23.1" hidden="1" customHeight="1">
      <c r="A37" s="34"/>
      <c r="B37" s="297" t="str">
        <f t="shared" si="16"/>
        <v/>
      </c>
      <c r="C37" s="28"/>
      <c r="D37" s="408"/>
      <c r="E37" s="409"/>
      <c r="F37" s="8"/>
      <c r="G37" s="410"/>
      <c r="H37" s="411"/>
      <c r="I37" s="411"/>
      <c r="J37" s="412"/>
      <c r="K37" s="29"/>
      <c r="L37" s="104"/>
      <c r="M37">
        <f t="shared" si="17"/>
        <v>0</v>
      </c>
      <c r="O37" s="38" t="str">
        <f t="shared" si="18"/>
        <v/>
      </c>
      <c r="P37" s="38" t="str">
        <f t="shared" si="19"/>
        <v/>
      </c>
      <c r="Q37" s="38" t="str">
        <f t="shared" si="20"/>
        <v/>
      </c>
      <c r="R37" s="2"/>
      <c r="S37" s="2"/>
      <c r="T37" s="2"/>
      <c r="U37" s="2"/>
      <c r="V37" s="2"/>
      <c r="W37" s="2"/>
      <c r="X37" s="2"/>
      <c r="Y37" s="2"/>
      <c r="Z37" s="2"/>
      <c r="AA37" s="2"/>
      <c r="AB37" s="2"/>
      <c r="AC37" s="2"/>
      <c r="AD37" s="2"/>
      <c r="AE37" s="2"/>
      <c r="AF37" s="2"/>
      <c r="AG37" s="2"/>
    </row>
    <row r="38" spans="1:33" ht="23.1" hidden="1" customHeight="1">
      <c r="A38" s="34"/>
      <c r="B38" s="297" t="str">
        <f t="shared" si="16"/>
        <v/>
      </c>
      <c r="C38" s="28"/>
      <c r="D38" s="408"/>
      <c r="E38" s="409"/>
      <c r="F38" s="8"/>
      <c r="G38" s="410"/>
      <c r="H38" s="411"/>
      <c r="I38" s="411"/>
      <c r="J38" s="412"/>
      <c r="K38" s="29"/>
      <c r="L38" s="104"/>
      <c r="M38">
        <f t="shared" si="17"/>
        <v>0</v>
      </c>
      <c r="O38" s="38" t="str">
        <f t="shared" si="18"/>
        <v/>
      </c>
      <c r="P38" s="38" t="str">
        <f t="shared" si="19"/>
        <v/>
      </c>
      <c r="Q38" s="38" t="str">
        <f t="shared" si="20"/>
        <v/>
      </c>
      <c r="R38" s="2"/>
      <c r="S38" s="2"/>
      <c r="T38" s="2"/>
      <c r="U38" s="2"/>
      <c r="V38" s="2"/>
      <c r="W38" s="2"/>
      <c r="X38" s="2"/>
      <c r="Y38" s="2"/>
      <c r="Z38" s="2"/>
      <c r="AA38" s="2"/>
      <c r="AB38" s="2"/>
      <c r="AC38" s="2"/>
      <c r="AD38" s="2"/>
      <c r="AE38" s="2"/>
      <c r="AF38" s="2"/>
      <c r="AG38" s="2"/>
    </row>
    <row r="39" spans="1:33" ht="23.1" hidden="1" customHeight="1">
      <c r="A39" s="34"/>
      <c r="B39" s="297" t="str">
        <f t="shared" si="16"/>
        <v/>
      </c>
      <c r="C39" s="28"/>
      <c r="D39" s="408"/>
      <c r="E39" s="409"/>
      <c r="F39" s="8"/>
      <c r="G39" s="410"/>
      <c r="H39" s="411"/>
      <c r="I39" s="411"/>
      <c r="J39" s="412"/>
      <c r="K39" s="29"/>
      <c r="L39" s="104"/>
      <c r="M39">
        <f t="shared" si="17"/>
        <v>0</v>
      </c>
      <c r="O39" s="38" t="str">
        <f t="shared" si="18"/>
        <v/>
      </c>
      <c r="P39" s="38" t="str">
        <f t="shared" si="19"/>
        <v/>
      </c>
      <c r="Q39" s="38" t="str">
        <f t="shared" si="20"/>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4" t="str">
        <f ca="1">D29</f>
        <v>Answer</v>
      </c>
      <c r="E41" s="424"/>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21">IF(ISERROR(AA12),"",AA12&amp;"")&amp;P42</f>
        <v>Cobalt(*)</v>
      </c>
      <c r="C42" s="28"/>
      <c r="D42" s="408" t="s">
        <v>25</v>
      </c>
      <c r="E42" s="409"/>
      <c r="F42" s="8"/>
      <c r="G42" s="410" t="s">
        <v>20361</v>
      </c>
      <c r="H42" s="411"/>
      <c r="I42" s="411"/>
      <c r="J42" s="412"/>
      <c r="K42" s="29"/>
      <c r="L42" s="104"/>
      <c r="M42">
        <f t="shared" ref="M42:M51" si="22">IF(AND(B42="",D42&lt;&gt;""),1,0)</f>
        <v>0</v>
      </c>
      <c r="P42" s="299" t="str">
        <f>IF(OR(D30="No",D30="Unknown",D30="Not declaring"),"",O30)</f>
        <v>(*)</v>
      </c>
      <c r="R42" s="2"/>
      <c r="S42" s="300" t="str">
        <f>IF(COUNTIF(D42,"Yes"),AA12,"")</f>
        <v>Cobalt</v>
      </c>
      <c r="T42" s="301" t="str">
        <f>IF(S43="",S42,IF(S42="",S43,IF(S42&gt;S43,S43,S42)))</f>
        <v>Cobalt</v>
      </c>
      <c r="U42" s="301" t="str">
        <f>T42</f>
        <v>Cobalt</v>
      </c>
      <c r="V42" s="301" t="str">
        <f>IF(U43="",U42,IF(U42="",U43,IF(U42&gt;U43,U43,U42)))</f>
        <v>Cobalt</v>
      </c>
      <c r="W42" s="301" t="str">
        <f>V42</f>
        <v>Cobalt</v>
      </c>
      <c r="X42" s="301" t="str">
        <f>IF(W43="",W42,IF(W42="",W43,IF(W42&gt;W43,W43,W42)))</f>
        <v>Cobalt</v>
      </c>
      <c r="Y42" s="301" t="str">
        <f>X42</f>
        <v>Cobalt</v>
      </c>
      <c r="Z42" s="301" t="str">
        <f>IF(Y43="",Y42,IF(Y42="",Y43,IF(Y42&gt;Y43,Y43,Y42)))</f>
        <v>Cobalt</v>
      </c>
      <c r="AA42" s="301" t="str">
        <f>Z42</f>
        <v>Cobalt</v>
      </c>
      <c r="AB42" s="301" t="str">
        <f>IF(AA43="",AA42,IF(AA42="",AA43,IF(AA42&gt;AA43,AA43,AA42)))</f>
        <v>Cobalt</v>
      </c>
      <c r="AC42" s="301" t="str">
        <f>AB42</f>
        <v>Cobalt</v>
      </c>
      <c r="AD42" s="2"/>
      <c r="AE42" s="2"/>
      <c r="AF42" s="2"/>
      <c r="AG42" s="2"/>
    </row>
    <row r="43" spans="1:33" ht="22.5">
      <c r="A43" s="34"/>
      <c r="B43" s="298" t="str">
        <f t="shared" si="21"/>
        <v>Copper(*)</v>
      </c>
      <c r="C43" s="28"/>
      <c r="D43" s="408" t="s">
        <v>25</v>
      </c>
      <c r="E43" s="409"/>
      <c r="F43" s="8"/>
      <c r="G43" s="410" t="s">
        <v>20362</v>
      </c>
      <c r="H43" s="411"/>
      <c r="I43" s="411"/>
      <c r="J43" s="412"/>
      <c r="K43" s="29"/>
      <c r="L43" s="104"/>
      <c r="M43">
        <f t="shared" si="22"/>
        <v>0</v>
      </c>
      <c r="P43" s="299" t="str">
        <f t="shared" ref="P43:P51" si="23">IF(OR(D31="No",D31="Unknown",D31="Not declaring"),"",O31)</f>
        <v>(*)</v>
      </c>
      <c r="R43" s="2"/>
      <c r="S43" s="300" t="str">
        <f t="shared" ref="S43:S51" si="24">IF(COUNTIF(D43,"Yes"),AA13,"")</f>
        <v>Copper</v>
      </c>
      <c r="T43" s="301" t="str">
        <f>IF(S43="",S43,IF(S42="",S42,IF(S42&gt;S43,S42,S43)))</f>
        <v>Copper</v>
      </c>
      <c r="U43" s="301" t="str">
        <f>IF(T44="",T43,IF(T43="",T44,IF(T43&gt;T44,T44,T43)))</f>
        <v>Copper</v>
      </c>
      <c r="V43" s="301" t="str">
        <f>IF(U43="",U43,IF(U42="",U42,IF(U42&gt;U43,U42,U43)))</f>
        <v>Copper</v>
      </c>
      <c r="W43" s="301" t="str">
        <f>IF(V44="",V43,IF(V43="",V44,IF(V43&gt;V44,V44,V43)))</f>
        <v>Copper</v>
      </c>
      <c r="X43" s="301" t="str">
        <f>IF(W43="",W43,IF(W42="",W42,IF(W42&gt;W43,W42,W43)))</f>
        <v>Copper</v>
      </c>
      <c r="Y43" s="301" t="str">
        <f>IF(X44="",X43,IF(X43="",X44,IF(X43&gt;X44,X44,X43)))</f>
        <v>Copper</v>
      </c>
      <c r="Z43" s="301" t="str">
        <f>IF(Y43="",Y43,IF(Y42="",Y42,IF(Y42&gt;Y43,Y42,Y43)))</f>
        <v>Copper</v>
      </c>
      <c r="AA43" s="301" t="str">
        <f>IF(Z44="",Z43,IF(Z43="",Z44,IF(Z43&gt;Z44,Z44,Z43)))</f>
        <v>Copper</v>
      </c>
      <c r="AB43" s="301" t="str">
        <f>IF(AA43="",AA43,IF(AA42="",AA42,IF(AA42&gt;AA43,AA42,AA43)))</f>
        <v>Copper</v>
      </c>
      <c r="AC43" s="301" t="str">
        <f>IF(AB44="",AB43,IF(AB43="",AB44,IF(AB43&gt;AB44,AB44,AB43)))</f>
        <v>Copper</v>
      </c>
      <c r="AD43" s="2"/>
      <c r="AE43" s="2"/>
      <c r="AF43" s="2"/>
      <c r="AG43" s="2"/>
    </row>
    <row r="44" spans="1:33" ht="22.5">
      <c r="A44" s="34"/>
      <c r="B44" s="298" t="str">
        <f t="shared" si="21"/>
        <v>Nickel(*)</v>
      </c>
      <c r="C44" s="28"/>
      <c r="D44" s="408" t="s">
        <v>25</v>
      </c>
      <c r="E44" s="409"/>
      <c r="F44" s="8"/>
      <c r="G44" s="410" t="s">
        <v>20363</v>
      </c>
      <c r="H44" s="411"/>
      <c r="I44" s="411"/>
      <c r="J44" s="412"/>
      <c r="K44" s="29"/>
      <c r="L44" s="104"/>
      <c r="M44">
        <f t="shared" si="22"/>
        <v>0</v>
      </c>
      <c r="P44" s="299" t="str">
        <f t="shared" si="23"/>
        <v>(*)</v>
      </c>
      <c r="R44" s="2"/>
      <c r="S44" s="300" t="str">
        <f t="shared" si="24"/>
        <v>Nickel</v>
      </c>
      <c r="T44" s="301" t="str">
        <f>IF(S45="",S44,IF(S44="",S45,IF(S44&gt;S45,S45,S44)))</f>
        <v>Nickel</v>
      </c>
      <c r="U44" s="301" t="str">
        <f>IF(T44="",T44,IF(T43="",T43,IF(T43&gt;T44,T43,T44)))</f>
        <v>Nickel</v>
      </c>
      <c r="V44" s="301" t="str">
        <f>IF(U45="",U44,IF(U44="",U45,IF(U44&gt;U45,U45,U44)))</f>
        <v>Nickel</v>
      </c>
      <c r="W44" s="301" t="str">
        <f>IF(V44="",V44,IF(V43="",V43,IF(V43&gt;V44,V43,V44)))</f>
        <v>Nickel</v>
      </c>
      <c r="X44" s="301" t="str">
        <f>IF(W45="",W44,IF(W44="",W45,IF(W44&gt;W45,W45,W44)))</f>
        <v>Nickel</v>
      </c>
      <c r="Y44" s="301" t="str">
        <f>IF(X44="",X44,IF(X43="",X43,IF(X43&gt;X44,X43,X44)))</f>
        <v>Nickel</v>
      </c>
      <c r="Z44" s="301" t="str">
        <f>IF(Y45="",Y44,IF(Y44="",Y45,IF(Y44&gt;Y45,Y45,Y44)))</f>
        <v>Nickel</v>
      </c>
      <c r="AA44" s="301" t="str">
        <f>IF(Z44="",Z44,IF(Z43="",Z43,IF(Z43&gt;Z44,Z43,Z44)))</f>
        <v>Nickel</v>
      </c>
      <c r="AB44" s="301" t="str">
        <f>IF(AA45="",AA44,IF(AA44="",AA45,IF(AA44&gt;AA45,AA45,AA44)))</f>
        <v>Nickel</v>
      </c>
      <c r="AC44" s="301" t="str">
        <f>IF(AB44="",AB44,IF(AB43="",AB43,IF(AB43&gt;AB44,AB43,AB44)))</f>
        <v>Nickel</v>
      </c>
      <c r="AD44" s="2"/>
      <c r="AE44" s="2"/>
      <c r="AF44" s="2"/>
      <c r="AG44" s="2"/>
    </row>
    <row r="45" spans="1:33" ht="22.5">
      <c r="A45" s="34"/>
      <c r="B45" s="298" t="str">
        <f t="shared" si="21"/>
        <v/>
      </c>
      <c r="C45" s="28"/>
      <c r="D45" s="408"/>
      <c r="E45" s="409"/>
      <c r="F45" s="8"/>
      <c r="G45" s="410"/>
      <c r="H45" s="411"/>
      <c r="I45" s="411"/>
      <c r="J45" s="412"/>
      <c r="K45" s="29"/>
      <c r="L45" s="104"/>
      <c r="M45">
        <f t="shared" si="22"/>
        <v>0</v>
      </c>
      <c r="P45" s="299" t="str">
        <f t="shared" si="23"/>
        <v/>
      </c>
      <c r="R45" s="2"/>
      <c r="S45" s="300" t="str">
        <f t="shared" si="24"/>
        <v/>
      </c>
      <c r="T45" s="301" t="str">
        <f>IF(S45="",S45,IF(S44="",S44,IF(S44&gt;S45,S44,S45)))</f>
        <v/>
      </c>
      <c r="U45" s="301" t="str">
        <f>IF(T46="",T45,IF(T45="",T46,IF(T45&gt;T46,T46,T45)))</f>
        <v/>
      </c>
      <c r="V45" s="301" t="str">
        <f>IF(U45="",U45,IF(U44="",U44,IF(U44&gt;U45,U44,U45)))</f>
        <v/>
      </c>
      <c r="W45" s="301" t="str">
        <f>IF(V46="",V45,IF(V45="",V46,IF(V45&gt;V46,V46,V45)))</f>
        <v/>
      </c>
      <c r="X45" s="301" t="str">
        <f>IF(W45="",W45,IF(W44="",W44,IF(W44&gt;W45,W44,W45)))</f>
        <v/>
      </c>
      <c r="Y45" s="301" t="str">
        <f>IF(X46="",X45,IF(X45="",X46,IF(X45&gt;X46,X46,X45)))</f>
        <v/>
      </c>
      <c r="Z45" s="301" t="str">
        <f>IF(Y45="",Y45,IF(Y44="",Y44,IF(Y44&gt;Y45,Y44,Y45)))</f>
        <v/>
      </c>
      <c r="AA45" s="301" t="str">
        <f>IF(Z46="",Z45,IF(Z45="",Z46,IF(Z45&gt;Z46,Z46,Z45)))</f>
        <v/>
      </c>
      <c r="AB45" s="301" t="str">
        <f>IF(AA45="",AA45,IF(AA44="",AA44,IF(AA44&gt;AA45,AA44,AA45)))</f>
        <v/>
      </c>
      <c r="AC45" s="301" t="str">
        <f>IF(AB46="",AB45,IF(AB45="",AB46,IF(AB45&gt;AB46,AB46,AB45)))</f>
        <v/>
      </c>
      <c r="AD45" s="2"/>
      <c r="AE45" s="2"/>
      <c r="AF45" s="2"/>
      <c r="AG45" s="2"/>
    </row>
    <row r="46" spans="1:33" ht="22.5">
      <c r="A46" s="34"/>
      <c r="B46" s="298" t="str">
        <f t="shared" si="21"/>
        <v/>
      </c>
      <c r="C46" s="28"/>
      <c r="D46" s="408"/>
      <c r="E46" s="409"/>
      <c r="F46" s="8"/>
      <c r="G46" s="410"/>
      <c r="H46" s="411"/>
      <c r="I46" s="411"/>
      <c r="J46" s="412"/>
      <c r="K46" s="29"/>
      <c r="L46" s="104"/>
      <c r="M46">
        <f t="shared" si="22"/>
        <v>0</v>
      </c>
      <c r="P46" s="299" t="str">
        <f t="shared" si="23"/>
        <v/>
      </c>
      <c r="R46" s="2"/>
      <c r="S46" s="300" t="str">
        <f t="shared" si="24"/>
        <v/>
      </c>
      <c r="T46" s="301" t="str">
        <f>IF(S47="",S46,IF(S46="",S47,IF(S46&gt;S47,S47,S46)))</f>
        <v/>
      </c>
      <c r="U46" s="301" t="str">
        <f>IF(T46="",T46,IF(T45="",T45,IF(T45&gt;T46,T45,T46)))</f>
        <v/>
      </c>
      <c r="V46" s="301" t="str">
        <f>IF(U47="",U46,IF(U46="",U47,IF(U46&gt;U47,U47,U46)))</f>
        <v/>
      </c>
      <c r="W46" s="301" t="str">
        <f>IF(V46="",V46,IF(V45="",V45,IF(V45&gt;V46,V45,V46)))</f>
        <v/>
      </c>
      <c r="X46" s="301" t="str">
        <f>IF(W47="",W46,IF(W46="",W47,IF(W46&gt;W47,W47,W46)))</f>
        <v/>
      </c>
      <c r="Y46" s="301" t="str">
        <f>IF(X46="",X46,IF(X45="",X45,IF(X45&gt;X46,X45,X46)))</f>
        <v/>
      </c>
      <c r="Z46" s="301" t="str">
        <f>IF(Y47="",Y46,IF(Y46="",Y47,IF(Y46&gt;Y47,Y47,Y46)))</f>
        <v/>
      </c>
      <c r="AA46" s="301" t="str">
        <f>IF(Z46="",Z46,IF(Z45="",Z45,IF(Z45&gt;Z46,Z45,Z46)))</f>
        <v/>
      </c>
      <c r="AB46" s="301" t="str">
        <f>IF(AA47="",AA46,IF(AA46="",AA47,IF(AA46&gt;AA47,AA47,AA46)))</f>
        <v/>
      </c>
      <c r="AC46" s="301" t="str">
        <f>IF(AB46="",AB46,IF(AB45="",AB45,IF(AB45&gt;AB46,AB45,AB46)))</f>
        <v/>
      </c>
      <c r="AD46" s="2"/>
      <c r="AE46" s="2"/>
      <c r="AF46" s="2"/>
      <c r="AG46" s="2"/>
    </row>
    <row r="47" spans="1:33" ht="23.1" customHeight="1">
      <c r="A47" s="34"/>
      <c r="B47" s="298" t="str">
        <f t="shared" si="21"/>
        <v/>
      </c>
      <c r="C47" s="28"/>
      <c r="D47" s="408"/>
      <c r="E47" s="409"/>
      <c r="F47" s="8"/>
      <c r="G47" s="410"/>
      <c r="H47" s="411"/>
      <c r="I47" s="411"/>
      <c r="J47" s="412"/>
      <c r="K47" s="29"/>
      <c r="L47" s="104"/>
      <c r="M47">
        <f t="shared" si="22"/>
        <v>0</v>
      </c>
      <c r="P47" s="299" t="str">
        <f t="shared" si="23"/>
        <v/>
      </c>
      <c r="R47" s="2"/>
      <c r="S47" s="300" t="str">
        <f t="shared" si="24"/>
        <v/>
      </c>
      <c r="T47" s="301" t="str">
        <f>IF(S47="",S47,IF(S46="",S46,IF(S46&gt;S47,S46,S47)))</f>
        <v/>
      </c>
      <c r="U47" s="301" t="str">
        <f>IF(T48="",T47,IF(T47="",T48,IF(T47&gt;T48,T48,T47)))</f>
        <v/>
      </c>
      <c r="V47" s="301" t="str">
        <f>IF(U47="",U47,IF(U46="",U46,IF(U46&gt;U47,U46,U47)))</f>
        <v/>
      </c>
      <c r="W47" s="301" t="str">
        <f>IF(V48="",V47,IF(V47="",V48,IF(V47&gt;V48,V48,V47)))</f>
        <v/>
      </c>
      <c r="X47" s="301" t="str">
        <f>IF(W47="",W47,IF(W46="",W46,IF(W46&gt;W47,W46,W47)))</f>
        <v/>
      </c>
      <c r="Y47" s="301" t="str">
        <f>IF(X48="",X47,IF(X47="",X48,IF(X47&gt;X48,X48,X47)))</f>
        <v/>
      </c>
      <c r="Z47" s="301" t="str">
        <f>IF(Y47="",Y47,IF(Y46="",Y46,IF(Y46&gt;Y47,Y46,Y47)))</f>
        <v/>
      </c>
      <c r="AA47" s="301" t="str">
        <f>IF(Z48="",Z47,IF(Z47="",Z48,IF(Z47&gt;Z48,Z48,Z47)))</f>
        <v/>
      </c>
      <c r="AB47" s="301" t="str">
        <f>IF(AA47="",AA47,IF(AA46="",AA46,IF(AA46&gt;AA47,AA46,AA47)))</f>
        <v/>
      </c>
      <c r="AC47" s="301" t="str">
        <f>IF(AB48="",AB47,IF(AB47="",AB48,IF(AB47&gt;AB48,AB48,AB47)))</f>
        <v/>
      </c>
      <c r="AD47" s="2"/>
      <c r="AE47" s="2"/>
      <c r="AF47" s="2"/>
      <c r="AG47" s="2"/>
    </row>
    <row r="48" spans="1:33" ht="23.1" hidden="1" customHeight="1">
      <c r="A48" s="34"/>
      <c r="B48" s="298" t="str">
        <f t="shared" si="21"/>
        <v/>
      </c>
      <c r="C48" s="28"/>
      <c r="D48" s="408"/>
      <c r="E48" s="409"/>
      <c r="F48" s="8"/>
      <c r="G48" s="410"/>
      <c r="H48" s="411"/>
      <c r="I48" s="411"/>
      <c r="J48" s="412"/>
      <c r="K48" s="29"/>
      <c r="L48" s="104"/>
      <c r="M48">
        <f t="shared" si="22"/>
        <v>0</v>
      </c>
      <c r="P48" s="299" t="str">
        <f t="shared" si="23"/>
        <v/>
      </c>
      <c r="R48" s="2"/>
      <c r="S48" s="300" t="str">
        <f t="shared" si="24"/>
        <v/>
      </c>
      <c r="T48" s="301" t="str">
        <f>IF(S49="",S48,IF(S48="",S49,IF(S48&gt;S49,S49,S48)))</f>
        <v/>
      </c>
      <c r="U48" s="301" t="str">
        <f>IF(T48="",T48,IF(T47="",T47,IF(T47&gt;T48,T47,T48)))</f>
        <v/>
      </c>
      <c r="V48" s="301" t="str">
        <f>IF(U49="",U48,IF(U48="",U49,IF(U48&gt;U49,U49,U48)))</f>
        <v/>
      </c>
      <c r="W48" s="301" t="str">
        <f>IF(V48="",V48,IF(V47="",V47,IF(V47&gt;V48,V47,V48)))</f>
        <v/>
      </c>
      <c r="X48" s="301" t="str">
        <f>IF(W49="",W48,IF(W48="",W49,IF(W48&gt;W49,W49,W48)))</f>
        <v/>
      </c>
      <c r="Y48" s="301" t="str">
        <f>IF(X48="",X48,IF(X47="",X47,IF(X47&gt;X48,X47,X48)))</f>
        <v/>
      </c>
      <c r="Z48" s="301" t="str">
        <f>IF(Y49="",Y48,IF(Y48="",Y49,IF(Y48&gt;Y49,Y49,Y48)))</f>
        <v/>
      </c>
      <c r="AA48" s="301" t="str">
        <f>IF(Z48="",Z48,IF(Z47="",Z47,IF(Z47&gt;Z48,Z47,Z48)))</f>
        <v/>
      </c>
      <c r="AB48" s="301" t="str">
        <f>IF(AA49="",AA48,IF(AA48="",AA49,IF(AA48&gt;AA49,AA49,AA48)))</f>
        <v/>
      </c>
      <c r="AC48" s="301" t="str">
        <f>IF(AB48="",AB48,IF(AB47="",AB47,IF(AB47&gt;AB48,AB47,AB48)))</f>
        <v/>
      </c>
      <c r="AD48" s="2"/>
      <c r="AE48" s="2"/>
      <c r="AF48" s="2"/>
      <c r="AG48" s="2"/>
    </row>
    <row r="49" spans="1:33" ht="23.1" hidden="1" customHeight="1">
      <c r="A49" s="34"/>
      <c r="B49" s="298" t="str">
        <f t="shared" si="21"/>
        <v/>
      </c>
      <c r="C49" s="28"/>
      <c r="D49" s="408"/>
      <c r="E49" s="409"/>
      <c r="F49" s="8"/>
      <c r="G49" s="410"/>
      <c r="H49" s="411"/>
      <c r="I49" s="411"/>
      <c r="J49" s="412"/>
      <c r="K49" s="29"/>
      <c r="L49" s="104"/>
      <c r="M49">
        <f t="shared" si="22"/>
        <v>0</v>
      </c>
      <c r="P49" s="299" t="str">
        <f t="shared" si="23"/>
        <v/>
      </c>
      <c r="R49" s="2"/>
      <c r="S49" s="300" t="str">
        <f t="shared" si="24"/>
        <v/>
      </c>
      <c r="T49" s="301" t="str">
        <f>IF(S49="",S49,IF(S48="",S48,IF(S48&gt;S49,S48,S49)))</f>
        <v/>
      </c>
      <c r="U49" s="301" t="str">
        <f>IF(T50="",T49,IF(T49="",T50,IF(T49&gt;T50,T50,T49)))</f>
        <v/>
      </c>
      <c r="V49" s="301" t="str">
        <f>IF(U49="",U49,IF(U48="",U48,IF(U48&gt;U49,U48,U49)))</f>
        <v/>
      </c>
      <c r="W49" s="301" t="str">
        <f>IF(V50="",V49,IF(V49="",V50,IF(V49&gt;V50,V50,V49)))</f>
        <v/>
      </c>
      <c r="X49" s="301" t="str">
        <f>IF(W49="",W49,IF(W48="",W48,IF(W48&gt;W49,W48,W49)))</f>
        <v/>
      </c>
      <c r="Y49" s="301" t="str">
        <f>IF(X50="",X49,IF(X49="",X50,IF(X49&gt;X50,X50,X49)))</f>
        <v/>
      </c>
      <c r="Z49" s="301" t="str">
        <f>IF(Y49="",Y49,IF(Y48="",Y48,IF(Y48&gt;Y49,Y48,Y49)))</f>
        <v/>
      </c>
      <c r="AA49" s="301" t="str">
        <f>IF(Z50="",Z49,IF(Z49="",Z50,IF(Z49&gt;Z50,Z50,Z49)))</f>
        <v/>
      </c>
      <c r="AB49" s="301" t="str">
        <f>IF(AA49="",AA49,IF(AA48="",AA48,IF(AA48&gt;AA49,AA48,AA49)))</f>
        <v/>
      </c>
      <c r="AC49" s="301" t="str">
        <f>IF(AB50="",AB49,IF(AB49="",AB50,IF(AB49&gt;AB50,AB50,AB49)))</f>
        <v/>
      </c>
      <c r="AD49" s="2"/>
      <c r="AE49" s="2"/>
      <c r="AF49" s="2"/>
      <c r="AG49" s="2"/>
    </row>
    <row r="50" spans="1:33" ht="23.1" hidden="1" customHeight="1">
      <c r="A50" s="34"/>
      <c r="B50" s="298" t="str">
        <f t="shared" si="21"/>
        <v/>
      </c>
      <c r="C50" s="28"/>
      <c r="D50" s="408"/>
      <c r="E50" s="409"/>
      <c r="F50" s="8"/>
      <c r="G50" s="410"/>
      <c r="H50" s="411"/>
      <c r="I50" s="411"/>
      <c r="J50" s="412"/>
      <c r="K50" s="29"/>
      <c r="L50" s="104"/>
      <c r="M50">
        <f t="shared" si="22"/>
        <v>0</v>
      </c>
      <c r="P50" s="299" t="str">
        <f t="shared" si="23"/>
        <v/>
      </c>
      <c r="R50" s="2"/>
      <c r="S50" s="300" t="str">
        <f t="shared" si="24"/>
        <v/>
      </c>
      <c r="T50" s="301" t="str">
        <f>IF(S51="",S50,IF(S50="",S51,IF(S50&gt;S51,S51,S50)))</f>
        <v/>
      </c>
      <c r="U50" s="301" t="str">
        <f>IF(T50="",T50,IF(T49="",T49,IF(T49&gt;T50,T49,T50)))</f>
        <v/>
      </c>
      <c r="V50" s="301" t="str">
        <f>IF(U51="",U50,IF(U50="",U51,IF(U50&gt;U51,U51,U50)))</f>
        <v/>
      </c>
      <c r="W50" s="301" t="str">
        <f>IF(V50="",V50,IF(V49="",V49,IF(V49&gt;V50,V49,V50)))</f>
        <v/>
      </c>
      <c r="X50" s="301" t="str">
        <f>IF(W51="",W50,IF(W50="",W51,IF(W50&gt;W51,W51,W50)))</f>
        <v/>
      </c>
      <c r="Y50" s="301" t="str">
        <f>IF(X50="",X50,IF(X49="",X49,IF(X49&gt;X50,X49,X50)))</f>
        <v/>
      </c>
      <c r="Z50" s="301" t="str">
        <f>IF(Y51="",Y50,IF(Y50="",Y51,IF(Y50&gt;Y51,Y51,Y50)))</f>
        <v/>
      </c>
      <c r="AA50" s="301" t="str">
        <f>IF(Z50="",Z50,IF(Z49="",Z49,IF(Z49&gt;Z50,Z49,Z50)))</f>
        <v/>
      </c>
      <c r="AB50" s="301" t="str">
        <f>IF(AA51="",AA50,IF(AA50="",AA51,IF(AA50&gt;AA51,AA51,AA50)))</f>
        <v/>
      </c>
      <c r="AC50" s="301" t="str">
        <f>IF(AB50="",AB50,IF(AB49="",AB49,IF(AB49&gt;AB50,AB49,AB50)))</f>
        <v/>
      </c>
      <c r="AD50" s="2"/>
      <c r="AE50" s="2"/>
      <c r="AF50" s="2"/>
      <c r="AG50" s="2"/>
    </row>
    <row r="51" spans="1:33" ht="23.1" hidden="1" customHeight="1">
      <c r="A51" s="34"/>
      <c r="B51" s="298" t="str">
        <f t="shared" si="21"/>
        <v/>
      </c>
      <c r="C51" s="28"/>
      <c r="D51" s="408"/>
      <c r="E51" s="409"/>
      <c r="F51" s="8"/>
      <c r="G51" s="410"/>
      <c r="H51" s="411"/>
      <c r="I51" s="411"/>
      <c r="J51" s="412"/>
      <c r="K51" s="29"/>
      <c r="L51" s="104"/>
      <c r="M51">
        <f t="shared" si="22"/>
        <v>0</v>
      </c>
      <c r="P51" s="299" t="str">
        <f t="shared" si="23"/>
        <v/>
      </c>
      <c r="R51" s="2"/>
      <c r="S51" s="300" t="str">
        <f t="shared" si="24"/>
        <v/>
      </c>
      <c r="T51" s="301" t="str">
        <f>IF(S51="",S51,IF(S50="",S50,IF(S50&gt;S51,S50,S51)))</f>
        <v/>
      </c>
      <c r="U51" s="301" t="str">
        <f>T51</f>
        <v/>
      </c>
      <c r="V51" s="301" t="str">
        <f>IF(U51="",U51,IF(U50="",U50,IF(U50&gt;U51,U50,U51)))</f>
        <v/>
      </c>
      <c r="W51" s="301" t="str">
        <f>V51</f>
        <v/>
      </c>
      <c r="X51" s="301" t="str">
        <f>IF(W51="",W51,IF(W50="",W50,IF(W50&gt;W51,W50,W51)))</f>
        <v/>
      </c>
      <c r="Y51" s="301" t="str">
        <f>X51</f>
        <v/>
      </c>
      <c r="Z51" s="301" t="str">
        <f>IF(Y51="",Y51,IF(Y50="",Y50,IF(Y50&gt;Y51,Y50,Y51)))</f>
        <v/>
      </c>
      <c r="AA51" s="301" t="str">
        <f>Z51</f>
        <v/>
      </c>
      <c r="AB51" s="301" t="str">
        <f>IF(AA51="",AA51,IF(AA50="",AA50,IF(AA50&gt;AA51,AA50,AA51)))</f>
        <v/>
      </c>
      <c r="AC51" s="301" t="str">
        <f>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4" t="str">
        <f ca="1">D29</f>
        <v>Answer</v>
      </c>
      <c r="E53" s="424"/>
      <c r="F53" s="14"/>
      <c r="G53" s="37" t="str">
        <f ca="1">G29</f>
        <v>Comments</v>
      </c>
      <c r="H53" s="428"/>
      <c r="I53" s="428"/>
      <c r="J53" s="428"/>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8" t="s">
        <v>22</v>
      </c>
      <c r="E54" s="409"/>
      <c r="F54" s="40"/>
      <c r="G54" s="410"/>
      <c r="H54" s="411"/>
      <c r="I54" s="411"/>
      <c r="J54" s="412"/>
      <c r="K54" s="29"/>
      <c r="L54" s="104"/>
      <c r="M54">
        <f t="shared" ref="M54:M63" si="25">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8" t="s">
        <v>22</v>
      </c>
      <c r="E55" s="409"/>
      <c r="F55" s="40"/>
      <c r="G55" s="410"/>
      <c r="H55" s="411"/>
      <c r="I55" s="411"/>
      <c r="J55" s="412"/>
      <c r="K55" s="29"/>
      <c r="L55" s="104"/>
      <c r="M55">
        <f t="shared" si="25"/>
        <v>0</v>
      </c>
      <c r="P55" s="299" t="str">
        <f t="shared" ref="P55:P63" si="26">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08" t="s">
        <v>22</v>
      </c>
      <c r="E56" s="409"/>
      <c r="F56" s="40"/>
      <c r="G56" s="410"/>
      <c r="H56" s="411"/>
      <c r="I56" s="411"/>
      <c r="J56" s="412"/>
      <c r="K56" s="29"/>
      <c r="L56" s="104"/>
      <c r="M56">
        <f t="shared" si="25"/>
        <v>0</v>
      </c>
      <c r="P56" s="299" t="str">
        <f t="shared" si="26"/>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8"/>
      <c r="E57" s="409"/>
      <c r="F57" s="40"/>
      <c r="G57" s="410"/>
      <c r="H57" s="411"/>
      <c r="I57" s="411"/>
      <c r="J57" s="412"/>
      <c r="K57" s="29"/>
      <c r="L57" s="104"/>
      <c r="M57">
        <f t="shared" si="25"/>
        <v>0</v>
      </c>
      <c r="P57" s="299" t="str">
        <f t="shared" si="26"/>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8"/>
      <c r="E58" s="409"/>
      <c r="F58" s="40"/>
      <c r="G58" s="410"/>
      <c r="H58" s="411"/>
      <c r="I58" s="411"/>
      <c r="J58" s="412"/>
      <c r="K58" s="29"/>
      <c r="L58" s="104"/>
      <c r="M58">
        <f t="shared" si="25"/>
        <v>0</v>
      </c>
      <c r="P58" s="299" t="str">
        <f t="shared" si="26"/>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8"/>
      <c r="E59" s="409"/>
      <c r="F59" s="40"/>
      <c r="G59" s="410"/>
      <c r="H59" s="411"/>
      <c r="I59" s="411"/>
      <c r="J59" s="412"/>
      <c r="K59" s="29"/>
      <c r="L59" s="104"/>
      <c r="M59">
        <f t="shared" si="25"/>
        <v>0</v>
      </c>
      <c r="P59" s="299" t="str">
        <f t="shared" si="26"/>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8"/>
      <c r="E60" s="409"/>
      <c r="F60" s="40"/>
      <c r="G60" s="410"/>
      <c r="H60" s="411"/>
      <c r="I60" s="411"/>
      <c r="J60" s="412"/>
      <c r="K60" s="29"/>
      <c r="L60" s="104"/>
      <c r="M60">
        <f t="shared" si="25"/>
        <v>0</v>
      </c>
      <c r="P60" s="299" t="str">
        <f t="shared" si="26"/>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8"/>
      <c r="E61" s="409"/>
      <c r="F61" s="40"/>
      <c r="G61" s="410"/>
      <c r="H61" s="411"/>
      <c r="I61" s="411"/>
      <c r="J61" s="412"/>
      <c r="K61" s="29"/>
      <c r="L61" s="104"/>
      <c r="M61">
        <f t="shared" si="25"/>
        <v>0</v>
      </c>
      <c r="P61" s="299" t="str">
        <f t="shared" si="26"/>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8"/>
      <c r="E62" s="409"/>
      <c r="F62" s="40"/>
      <c r="G62" s="410"/>
      <c r="H62" s="411"/>
      <c r="I62" s="411"/>
      <c r="J62" s="412"/>
      <c r="K62" s="29"/>
      <c r="L62" s="104"/>
      <c r="M62">
        <f t="shared" si="25"/>
        <v>0</v>
      </c>
      <c r="P62" s="299" t="str">
        <f t="shared" si="26"/>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8"/>
      <c r="E63" s="409"/>
      <c r="F63" s="40"/>
      <c r="G63" s="410"/>
      <c r="H63" s="411"/>
      <c r="I63" s="411"/>
      <c r="J63" s="412"/>
      <c r="K63" s="29"/>
      <c r="L63" s="104"/>
      <c r="M63">
        <f t="shared" si="25"/>
        <v>0</v>
      </c>
      <c r="P63" s="299" t="str">
        <f t="shared" si="26"/>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4" t="str">
        <f ca="1">D29</f>
        <v>Answer</v>
      </c>
      <c r="E65" s="42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8" t="s">
        <v>25</v>
      </c>
      <c r="E66" s="409"/>
      <c r="F66" s="40"/>
      <c r="G66" s="410"/>
      <c r="H66" s="411"/>
      <c r="I66" s="411"/>
      <c r="J66" s="412"/>
      <c r="K66" s="29"/>
      <c r="L66" s="104"/>
      <c r="M66">
        <f t="shared" ref="M66:M75" si="27">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8" t="s">
        <v>25</v>
      </c>
      <c r="E67" s="409"/>
      <c r="F67" s="40"/>
      <c r="G67" s="410"/>
      <c r="H67" s="411"/>
      <c r="I67" s="411"/>
      <c r="J67" s="412"/>
      <c r="K67" s="29"/>
      <c r="L67" s="104"/>
      <c r="M67">
        <f t="shared" si="27"/>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08" t="s">
        <v>25</v>
      </c>
      <c r="E68" s="409"/>
      <c r="F68" s="40"/>
      <c r="G68" s="410"/>
      <c r="H68" s="411"/>
      <c r="I68" s="411"/>
      <c r="J68" s="412"/>
      <c r="K68" s="29"/>
      <c r="L68" s="104"/>
      <c r="M68">
        <f t="shared" si="27"/>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8"/>
      <c r="E69" s="409"/>
      <c r="F69" s="40"/>
      <c r="G69" s="410"/>
      <c r="H69" s="411"/>
      <c r="I69" s="411"/>
      <c r="J69" s="412"/>
      <c r="K69" s="29"/>
      <c r="L69" s="104"/>
      <c r="M69">
        <f t="shared" si="27"/>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8"/>
      <c r="E70" s="409"/>
      <c r="F70" s="40"/>
      <c r="G70" s="410"/>
      <c r="H70" s="411"/>
      <c r="I70" s="411"/>
      <c r="J70" s="412"/>
      <c r="K70" s="29"/>
      <c r="L70" s="104"/>
      <c r="M70">
        <f t="shared" si="27"/>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8"/>
      <c r="E71" s="409"/>
      <c r="F71" s="40"/>
      <c r="G71" s="410"/>
      <c r="H71" s="411"/>
      <c r="I71" s="411"/>
      <c r="J71" s="412"/>
      <c r="K71" s="29"/>
      <c r="L71" s="104"/>
      <c r="M71">
        <f t="shared" si="27"/>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8"/>
      <c r="E72" s="409"/>
      <c r="F72" s="40"/>
      <c r="G72" s="410"/>
      <c r="H72" s="411"/>
      <c r="I72" s="411"/>
      <c r="J72" s="412"/>
      <c r="K72" s="29"/>
      <c r="L72" s="104"/>
      <c r="M72">
        <f t="shared" si="27"/>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8"/>
      <c r="E73" s="409"/>
      <c r="F73" s="40"/>
      <c r="G73" s="410"/>
      <c r="H73" s="411"/>
      <c r="I73" s="411"/>
      <c r="J73" s="412"/>
      <c r="K73" s="29"/>
      <c r="L73" s="104"/>
      <c r="M73">
        <f t="shared" si="27"/>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8"/>
      <c r="E74" s="409"/>
      <c r="F74" s="40"/>
      <c r="G74" s="410"/>
      <c r="H74" s="411"/>
      <c r="I74" s="411"/>
      <c r="J74" s="412"/>
      <c r="K74" s="29"/>
      <c r="L74" s="104"/>
      <c r="M74">
        <f t="shared" si="27"/>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8"/>
      <c r="E75" s="409"/>
      <c r="F75" s="40"/>
      <c r="G75" s="410"/>
      <c r="H75" s="411"/>
      <c r="I75" s="411"/>
      <c r="J75" s="412"/>
      <c r="K75" s="29"/>
      <c r="L75" s="104"/>
      <c r="M75">
        <f t="shared" si="27"/>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4" t="str">
        <f ca="1">D29</f>
        <v>Answer</v>
      </c>
      <c r="E77" s="42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8" t="s">
        <v>29</v>
      </c>
      <c r="E78" s="409"/>
      <c r="F78" s="40"/>
      <c r="G78" s="410"/>
      <c r="H78" s="411"/>
      <c r="I78" s="411"/>
      <c r="J78" s="412"/>
      <c r="K78" s="29"/>
      <c r="L78" s="104"/>
      <c r="M78">
        <f t="shared" ref="M78:M87" si="28">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8" t="s">
        <v>29</v>
      </c>
      <c r="E79" s="409"/>
      <c r="F79" s="40"/>
      <c r="G79" s="410"/>
      <c r="H79" s="411"/>
      <c r="I79" s="411"/>
      <c r="J79" s="412"/>
      <c r="K79" s="29"/>
      <c r="L79" s="104"/>
      <c r="M79">
        <f t="shared" si="28"/>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08" t="s">
        <v>29</v>
      </c>
      <c r="E80" s="409"/>
      <c r="F80" s="40"/>
      <c r="G80" s="410"/>
      <c r="H80" s="411"/>
      <c r="I80" s="411"/>
      <c r="J80" s="412"/>
      <c r="K80" s="29"/>
      <c r="L80" s="104"/>
      <c r="M80">
        <f t="shared" si="28"/>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8"/>
      <c r="E81" s="409"/>
      <c r="F81" s="40"/>
      <c r="G81" s="410"/>
      <c r="H81" s="411"/>
      <c r="I81" s="411"/>
      <c r="J81" s="412"/>
      <c r="K81" s="29"/>
      <c r="L81" s="104"/>
      <c r="M81">
        <f t="shared" si="28"/>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8"/>
      <c r="E82" s="409"/>
      <c r="F82" s="40"/>
      <c r="G82" s="410"/>
      <c r="H82" s="411"/>
      <c r="I82" s="411"/>
      <c r="J82" s="412"/>
      <c r="K82" s="29"/>
      <c r="L82" s="104"/>
      <c r="M82">
        <f t="shared" si="28"/>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8"/>
      <c r="E83" s="409"/>
      <c r="F83" s="40"/>
      <c r="G83" s="410"/>
      <c r="H83" s="411"/>
      <c r="I83" s="411"/>
      <c r="J83" s="412"/>
      <c r="K83" s="29"/>
      <c r="L83" s="104"/>
      <c r="M83">
        <f t="shared" si="28"/>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8"/>
      <c r="E84" s="409"/>
      <c r="F84" s="40"/>
      <c r="G84" s="410"/>
      <c r="H84" s="411"/>
      <c r="I84" s="411"/>
      <c r="J84" s="412"/>
      <c r="K84" s="29"/>
      <c r="L84" s="104"/>
      <c r="M84">
        <f t="shared" si="28"/>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8"/>
      <c r="E85" s="409"/>
      <c r="F85" s="40"/>
      <c r="G85" s="410"/>
      <c r="H85" s="411"/>
      <c r="I85" s="411"/>
      <c r="J85" s="412"/>
      <c r="K85" s="29"/>
      <c r="L85" s="104"/>
      <c r="M85">
        <f t="shared" si="28"/>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8"/>
      <c r="E86" s="409"/>
      <c r="F86" s="40"/>
      <c r="G86" s="410"/>
      <c r="H86" s="411"/>
      <c r="I86" s="411"/>
      <c r="J86" s="412"/>
      <c r="K86" s="29"/>
      <c r="L86" s="104"/>
      <c r="M86">
        <f t="shared" si="28"/>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8"/>
      <c r="E87" s="409"/>
      <c r="F87" s="40"/>
      <c r="G87" s="410"/>
      <c r="H87" s="411"/>
      <c r="I87" s="411"/>
      <c r="J87" s="412"/>
      <c r="K87" s="29"/>
      <c r="L87" s="104"/>
      <c r="M87">
        <f t="shared" si="28"/>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4" t="str">
        <f ca="1">D29</f>
        <v>Answer</v>
      </c>
      <c r="E89" s="424"/>
      <c r="F89" s="14"/>
      <c r="G89" s="37" t="str">
        <f ca="1">G29</f>
        <v>Comments</v>
      </c>
      <c r="H89" s="425"/>
      <c r="I89" s="425"/>
      <c r="J89" s="425"/>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8" t="s">
        <v>25</v>
      </c>
      <c r="E90" s="409"/>
      <c r="F90" s="40"/>
      <c r="G90" s="410"/>
      <c r="H90" s="411"/>
      <c r="I90" s="411"/>
      <c r="J90" s="412"/>
      <c r="K90" s="29"/>
      <c r="L90" s="104"/>
      <c r="M90">
        <f t="shared" ref="M90:M99" si="29">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8" t="s">
        <v>25</v>
      </c>
      <c r="E91" s="409"/>
      <c r="F91" s="40"/>
      <c r="G91" s="410"/>
      <c r="H91" s="411"/>
      <c r="I91" s="411"/>
      <c r="J91" s="412"/>
      <c r="K91" s="29"/>
      <c r="L91" s="104"/>
      <c r="M91">
        <f t="shared" si="29"/>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08" t="s">
        <v>25</v>
      </c>
      <c r="E92" s="409"/>
      <c r="F92" s="40"/>
      <c r="G92" s="410"/>
      <c r="H92" s="411"/>
      <c r="I92" s="411"/>
      <c r="J92" s="412"/>
      <c r="K92" s="29"/>
      <c r="L92" s="104"/>
      <c r="M92">
        <f t="shared" si="29"/>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8"/>
      <c r="E93" s="409"/>
      <c r="F93" s="40"/>
      <c r="G93" s="410"/>
      <c r="H93" s="411"/>
      <c r="I93" s="411"/>
      <c r="J93" s="412"/>
      <c r="K93" s="29"/>
      <c r="L93" s="104"/>
      <c r="M93">
        <f t="shared" si="29"/>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8"/>
      <c r="E94" s="409"/>
      <c r="F94" s="40"/>
      <c r="G94" s="410"/>
      <c r="H94" s="411"/>
      <c r="I94" s="411"/>
      <c r="J94" s="412"/>
      <c r="K94" s="29"/>
      <c r="L94" s="104"/>
      <c r="M94">
        <f t="shared" si="29"/>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8"/>
      <c r="E95" s="409"/>
      <c r="F95" s="40"/>
      <c r="G95" s="410"/>
      <c r="H95" s="411"/>
      <c r="I95" s="411"/>
      <c r="J95" s="412"/>
      <c r="K95" s="29"/>
      <c r="L95" s="104"/>
      <c r="M95">
        <f t="shared" si="29"/>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8"/>
      <c r="E96" s="409"/>
      <c r="F96" s="40"/>
      <c r="G96" s="410"/>
      <c r="H96" s="411"/>
      <c r="I96" s="411"/>
      <c r="J96" s="412"/>
      <c r="K96" s="29"/>
      <c r="L96" s="104"/>
      <c r="M96">
        <f t="shared" si="29"/>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8"/>
      <c r="E97" s="409"/>
      <c r="F97" s="40"/>
      <c r="G97" s="410"/>
      <c r="H97" s="411"/>
      <c r="I97" s="411"/>
      <c r="J97" s="412"/>
      <c r="K97" s="29"/>
      <c r="L97" s="104"/>
      <c r="M97">
        <f t="shared" si="29"/>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8"/>
      <c r="E98" s="409"/>
      <c r="F98" s="40"/>
      <c r="G98" s="410"/>
      <c r="H98" s="411"/>
      <c r="I98" s="411"/>
      <c r="J98" s="412"/>
      <c r="K98" s="29"/>
      <c r="L98" s="104"/>
      <c r="M98">
        <f t="shared" si="29"/>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8"/>
      <c r="E99" s="409"/>
      <c r="F99" s="40"/>
      <c r="G99" s="410"/>
      <c r="H99" s="411"/>
      <c r="I99" s="411"/>
      <c r="J99" s="412"/>
      <c r="K99" s="29"/>
      <c r="L99" s="104"/>
      <c r="M99">
        <f t="shared" si="29"/>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4" t="str">
        <f ca="1">D29</f>
        <v>Answer</v>
      </c>
      <c r="E101" s="424"/>
      <c r="F101" s="14"/>
      <c r="G101" s="37" t="str">
        <f ca="1">G29</f>
        <v>Comments</v>
      </c>
      <c r="H101" s="425" t="str">
        <f>IF(Q115="(*)","Click here to enter smelter names","")</f>
        <v/>
      </c>
      <c r="I101" s="425"/>
      <c r="J101" s="425"/>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8" t="s">
        <v>26</v>
      </c>
      <c r="E102" s="409"/>
      <c r="F102" s="41"/>
      <c r="G102" s="410"/>
      <c r="H102" s="411"/>
      <c r="I102" s="411"/>
      <c r="J102" s="412"/>
      <c r="K102" s="29"/>
      <c r="L102" s="104"/>
      <c r="M102">
        <f t="shared" ref="M102:M111" si="30">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8" t="s">
        <v>26</v>
      </c>
      <c r="E103" s="409"/>
      <c r="F103" s="41"/>
      <c r="G103" s="410"/>
      <c r="H103" s="411"/>
      <c r="I103" s="411"/>
      <c r="J103" s="412"/>
      <c r="K103" s="29"/>
      <c r="L103" s="104"/>
      <c r="M103">
        <f t="shared" si="30"/>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08" t="s">
        <v>26</v>
      </c>
      <c r="E104" s="409"/>
      <c r="F104" s="41"/>
      <c r="G104" s="410"/>
      <c r="H104" s="411"/>
      <c r="I104" s="411"/>
      <c r="J104" s="412"/>
      <c r="K104" s="29"/>
      <c r="L104" s="104"/>
      <c r="M104">
        <f t="shared" si="30"/>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8"/>
      <c r="E105" s="409"/>
      <c r="F105" s="41"/>
      <c r="G105" s="410"/>
      <c r="H105" s="411"/>
      <c r="I105" s="411"/>
      <c r="J105" s="412"/>
      <c r="K105" s="29"/>
      <c r="L105" s="104"/>
      <c r="M105">
        <f t="shared" si="30"/>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8"/>
      <c r="E106" s="409"/>
      <c r="F106" s="41"/>
      <c r="G106" s="410"/>
      <c r="H106" s="411"/>
      <c r="I106" s="411"/>
      <c r="J106" s="412"/>
      <c r="K106" s="29"/>
      <c r="L106" s="104"/>
      <c r="M106">
        <f t="shared" si="30"/>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8"/>
      <c r="E107" s="409"/>
      <c r="F107" s="41"/>
      <c r="G107" s="410"/>
      <c r="H107" s="411"/>
      <c r="I107" s="411"/>
      <c r="J107" s="412"/>
      <c r="K107" s="29"/>
      <c r="L107" s="104"/>
      <c r="M107">
        <f t="shared" si="30"/>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8"/>
      <c r="E108" s="409"/>
      <c r="F108" s="41"/>
      <c r="G108" s="410"/>
      <c r="H108" s="411"/>
      <c r="I108" s="411"/>
      <c r="J108" s="412"/>
      <c r="K108" s="29"/>
      <c r="L108" s="104"/>
      <c r="M108">
        <f t="shared" si="30"/>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8"/>
      <c r="E109" s="409"/>
      <c r="F109" s="41"/>
      <c r="G109" s="410"/>
      <c r="H109" s="411"/>
      <c r="I109" s="411"/>
      <c r="J109" s="412"/>
      <c r="K109" s="29"/>
      <c r="L109" s="104"/>
      <c r="M109">
        <f t="shared" si="30"/>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8"/>
      <c r="E110" s="409"/>
      <c r="F110" s="41"/>
      <c r="G110" s="410"/>
      <c r="H110" s="411"/>
      <c r="I110" s="411"/>
      <c r="J110" s="412"/>
      <c r="K110" s="29"/>
      <c r="L110" s="104"/>
      <c r="M110">
        <f t="shared" si="30"/>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8"/>
      <c r="E111" s="409"/>
      <c r="F111" s="43"/>
      <c r="G111" s="410"/>
      <c r="H111" s="411"/>
      <c r="I111" s="411"/>
      <c r="J111" s="412"/>
      <c r="K111" s="32"/>
      <c r="L111" s="105"/>
      <c r="M111">
        <f t="shared" si="30"/>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3" t="str">
        <f ca="1">OFFSET(L!$C$1,MATCH("Declaration"&amp;ADDRESS(ROW(),COLUMN(),4),L!$A:$A,0)-1,SL,,)</f>
        <v>Answer the Following Questions at a Company Level</v>
      </c>
      <c r="C113" s="423"/>
      <c r="D113" s="423"/>
      <c r="E113" s="423"/>
      <c r="F113" s="423"/>
      <c r="G113" s="423"/>
      <c r="H113" s="423"/>
      <c r="I113" s="423"/>
      <c r="J113" s="423"/>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7" t="str">
        <f ca="1">D29</f>
        <v>Answer</v>
      </c>
      <c r="E114" s="417"/>
      <c r="F114" s="46"/>
      <c r="G114" s="417" t="str">
        <f ca="1">G29</f>
        <v>Comments</v>
      </c>
      <c r="H114" s="417" t="e">
        <f>HLOOKUP(SL,LT,$O114,0)</f>
        <v>#NAME?</v>
      </c>
      <c r="I114" s="41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8" t="s">
        <v>25</v>
      </c>
      <c r="E115" s="409"/>
      <c r="F115" s="49"/>
      <c r="G115" s="410"/>
      <c r="H115" s="411"/>
      <c r="I115" s="411"/>
      <c r="J115" s="412"/>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5"/>
      <c r="H116" s="415"/>
      <c r="I116" s="415"/>
      <c r="J116" s="415"/>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8" t="s">
        <v>25</v>
      </c>
      <c r="E117" s="409"/>
      <c r="F117" s="49"/>
      <c r="G117" s="418" t="s">
        <v>20364</v>
      </c>
      <c r="H117" s="419"/>
      <c r="I117" s="419"/>
      <c r="J117" s="42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1"/>
      <c r="E119" s="421"/>
      <c r="F119" s="231"/>
      <c r="G119" s="422"/>
      <c r="H119" s="422"/>
      <c r="I119" s="422"/>
      <c r="J119" s="422"/>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8" t="s">
        <v>25</v>
      </c>
      <c r="E120" s="409"/>
      <c r="F120" s="8"/>
      <c r="G120" s="410"/>
      <c r="H120" s="411"/>
      <c r="I120" s="411"/>
      <c r="J120" s="412"/>
      <c r="K120" s="29"/>
      <c r="L120" s="100"/>
      <c r="M120">
        <f t="shared" ref="M120:M129" si="31">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8" t="s">
        <v>25</v>
      </c>
      <c r="E121" s="409"/>
      <c r="F121" s="8"/>
      <c r="G121" s="410"/>
      <c r="H121" s="411"/>
      <c r="I121" s="411"/>
      <c r="J121" s="412"/>
      <c r="K121" s="29"/>
      <c r="L121" s="100"/>
      <c r="M121">
        <f t="shared" si="31"/>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08" t="s">
        <v>25</v>
      </c>
      <c r="E122" s="409"/>
      <c r="F122" s="8"/>
      <c r="G122" s="410"/>
      <c r="H122" s="411"/>
      <c r="I122" s="411"/>
      <c r="J122" s="412"/>
      <c r="K122" s="29"/>
      <c r="L122" s="100"/>
      <c r="M122">
        <f t="shared" si="31"/>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8"/>
      <c r="E123" s="409"/>
      <c r="F123" s="8"/>
      <c r="G123" s="410"/>
      <c r="H123" s="411"/>
      <c r="I123" s="411"/>
      <c r="J123" s="412"/>
      <c r="K123" s="29"/>
      <c r="L123" s="100"/>
      <c r="M123">
        <f t="shared" si="31"/>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8"/>
      <c r="E124" s="409"/>
      <c r="F124" s="8"/>
      <c r="G124" s="410"/>
      <c r="H124" s="411"/>
      <c r="I124" s="411"/>
      <c r="J124" s="412"/>
      <c r="K124" s="29"/>
      <c r="L124" s="100"/>
      <c r="M124">
        <f t="shared" si="31"/>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8"/>
      <c r="E125" s="409"/>
      <c r="F125" s="8"/>
      <c r="G125" s="410"/>
      <c r="H125" s="411"/>
      <c r="I125" s="411"/>
      <c r="J125" s="412"/>
      <c r="K125" s="29"/>
      <c r="L125" s="100"/>
      <c r="M125">
        <f t="shared" si="31"/>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8"/>
      <c r="E126" s="409"/>
      <c r="F126" s="8"/>
      <c r="G126" s="410"/>
      <c r="H126" s="411"/>
      <c r="I126" s="411"/>
      <c r="J126" s="412"/>
      <c r="K126" s="29"/>
      <c r="L126" s="100"/>
      <c r="M126">
        <f t="shared" si="31"/>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8"/>
      <c r="E127" s="409"/>
      <c r="F127" s="8"/>
      <c r="G127" s="410"/>
      <c r="H127" s="411"/>
      <c r="I127" s="411"/>
      <c r="J127" s="412"/>
      <c r="K127" s="29"/>
      <c r="L127" s="100"/>
      <c r="M127">
        <f t="shared" si="31"/>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8"/>
      <c r="E128" s="409"/>
      <c r="F128" s="8"/>
      <c r="G128" s="410"/>
      <c r="H128" s="411"/>
      <c r="I128" s="411"/>
      <c r="J128" s="412"/>
      <c r="K128" s="29"/>
      <c r="L128" s="100"/>
      <c r="M128">
        <f t="shared" si="31"/>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8"/>
      <c r="E129" s="409"/>
      <c r="F129" s="8"/>
      <c r="G129" s="410"/>
      <c r="H129" s="411"/>
      <c r="I129" s="411"/>
      <c r="J129" s="412"/>
      <c r="K129" s="29"/>
      <c r="L129" s="100"/>
      <c r="M129">
        <f t="shared" si="31"/>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8" t="s">
        <v>25</v>
      </c>
      <c r="E131" s="409"/>
      <c r="F131" s="49"/>
      <c r="G131" s="410"/>
      <c r="H131" s="411"/>
      <c r="I131" s="411"/>
      <c r="J131" s="412"/>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3" t="s">
        <v>32</v>
      </c>
      <c r="E133" s="414"/>
      <c r="F133" s="49"/>
      <c r="G133" s="410"/>
      <c r="H133" s="411"/>
      <c r="I133" s="411"/>
      <c r="J133" s="412"/>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5"/>
      <c r="H134" s="415"/>
      <c r="I134" s="415"/>
      <c r="J134" s="415"/>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8" t="s">
        <v>25</v>
      </c>
      <c r="E135" s="409"/>
      <c r="F135" s="49"/>
      <c r="G135" s="410"/>
      <c r="H135" s="411"/>
      <c r="I135" s="411"/>
      <c r="J135" s="412"/>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6"/>
      <c r="H136" s="416"/>
      <c r="I136" s="416"/>
      <c r="J136" s="416"/>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8" t="s">
        <v>25</v>
      </c>
      <c r="E137" s="409"/>
      <c r="F137" s="49"/>
      <c r="G137" s="410"/>
      <c r="H137" s="411"/>
      <c r="I137" s="411"/>
      <c r="J137" s="412"/>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5" t="str">
        <f>IF(OR($D$8="",$I$3=""),"","Click here to check required fields completion")</f>
        <v/>
      </c>
      <c r="C138" s="405"/>
      <c r="D138" s="405"/>
      <c r="E138" s="405"/>
      <c r="F138" s="405"/>
      <c r="G138" s="405"/>
      <c r="H138" s="405"/>
      <c r="I138" s="405"/>
      <c r="J138" s="40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6" t="str">
        <f ca="1">OFFSET(L!$C$1,MATCH("General"&amp;"Cpy",L!$A:$A,0)-1,SL,,)</f>
        <v>© 2026 Responsible Minerals Initiative. All rights reserved.</v>
      </c>
      <c r="B139" s="407"/>
      <c r="C139" s="407"/>
      <c r="D139" s="407"/>
      <c r="E139" s="407"/>
      <c r="F139" s="407"/>
      <c r="G139" s="407"/>
      <c r="H139" s="407"/>
      <c r="I139" s="407"/>
      <c r="J139" s="40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60B60C9F-8A56-403A-877E-8642A1298CE1}"/>
    <hyperlink ref="D24" r:id="rId2" xr:uid="{9AED555A-4700-47B7-A94F-9B7CF6FFCEC3}"/>
    <hyperlink ref="G117" r:id="rId3" xr:uid="{FCC37175-A359-445A-B51B-6BB51CC2E12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L26" sqref="L2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8" t="str">
        <f ca="1">OFFSET(L!$C$1,MATCH("Smelter List"&amp;ADDRESS(ROW(),COLUMN(),4),L!$A:$A,0)-1,SL,,)</f>
        <v>Link to "RMAP Conformant Smelter List"</v>
      </c>
      <c r="K2" s="469"/>
      <c r="L2" s="469"/>
      <c r="M2" s="469"/>
      <c r="N2" s="469"/>
      <c r="O2" s="469"/>
      <c r="P2" s="161"/>
      <c r="Q2" s="162"/>
      <c r="R2" s="163"/>
      <c r="S2" s="163"/>
      <c r="T2" s="163"/>
      <c r="AB2" s="310"/>
      <c r="AH2" s="129" t="s">
        <v>25</v>
      </c>
    </row>
    <row r="3" spans="1:34" s="16" customFormat="1" ht="249.6" customHeight="1">
      <c r="A3" s="200"/>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4"/>
      <c r="G3" s="471" t="str">
        <f ca="1">OFFSET(L!$C$1,MATCH("General"&amp;"Cpy",L!$A:$A,0)-1,SL,,)</f>
        <v>© 2026 Responsible Minerals Initiative. All rights reserved.</v>
      </c>
      <c r="H3" s="472"/>
      <c r="I3" s="473"/>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
        <v>40</v>
      </c>
      <c r="C5" s="151" t="s">
        <v>296</v>
      </c>
      <c r="D5" s="148" t="s">
        <v>26</v>
      </c>
      <c r="E5" s="148" t="str">
        <f ca="1">IF(ISERROR($V5),"",OFFSET('Smelter Look-up'!$D$4,$V5-4,0)&amp;"")</f>
        <v/>
      </c>
      <c r="F5" s="148">
        <f ca="1">IF(ISERROR($V5),"",OFFSET('Smelter Look-up'!$E$4,$V5-4,0))</f>
        <v>0</v>
      </c>
      <c r="G5" s="148" t="s">
        <v>26</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Unknown</v>
      </c>
      <c r="T5" s="154" t="str">
        <f ca="1">IF(B5="","",IF(ISERROR(MATCH($J5,SorP!$B$1:$B$6261,0)),"",INDIRECT("'SorP'!$A$"&amp;MATCH($S5&amp;$J5,SorP!C:C,0))))</f>
        <v/>
      </c>
      <c r="U5" s="167"/>
      <c r="V5" s="168">
        <f>IF(C5="",NA(),MATCH($B5&amp;$C5,'Smelter Look-up'!$J:$J,0))</f>
        <v>181</v>
      </c>
      <c r="X5" s="169">
        <f t="shared" ref="X5:X12" ca="1" si="1">IF(AND(C5="Smelter not listed",OR(LEN(D5)=0,LEN(E5)=0)),1,0)</f>
        <v>1</v>
      </c>
      <c r="AB5" s="312" t="str">
        <f t="shared" ref="AB5:AB12" si="2">IF(C5="","",B5)</f>
        <v>Cobalt</v>
      </c>
      <c r="AC5" s="169" t="str">
        <f>B5</f>
        <v>Cobalt</v>
      </c>
      <c r="AD5" s="169" t="str">
        <f>IF(C5="Smelter not listed",D5,C5)</f>
        <v>Unknown</v>
      </c>
    </row>
    <row r="6" spans="1:34" s="169" customFormat="1" ht="20.25">
      <c r="A6" s="196"/>
      <c r="B6" s="302" t="s">
        <v>18108</v>
      </c>
      <c r="C6" s="151" t="s">
        <v>296</v>
      </c>
      <c r="D6" s="148" t="s">
        <v>26</v>
      </c>
      <c r="E6" s="148" t="str">
        <f ca="1">IF(ISERROR($V6),"",OFFSET('Smelter Look-up'!$D$4,$V6-4,0)&amp;"")</f>
        <v/>
      </c>
      <c r="F6" s="148">
        <f ca="1">IF(ISERROR($V6),"",OFFSET('Smelter Look-up'!$E$4,$V6-4,0))</f>
        <v>0</v>
      </c>
      <c r="G6" s="148" t="s">
        <v>26</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
      </c>
      <c r="S6" s="154" t="str">
        <f t="shared" ca="1" si="0"/>
        <v>Unknown</v>
      </c>
      <c r="T6" s="154" t="str">
        <f ca="1">IF(B6="","",IF(ISERROR(MATCH($J6,SorP!$B$1:$B$6261,0)),"",INDIRECT("'SorP'!$A$"&amp;MATCH($S6&amp;$J6,SorP!C:C,0))))</f>
        <v/>
      </c>
      <c r="U6" s="167"/>
      <c r="V6" s="168">
        <f>IF(C6="",NA(),MATCH($B6&amp;$C6,'Smelter Look-up'!$J:$J,0))</f>
        <v>376</v>
      </c>
      <c r="X6" s="169">
        <f t="shared" ca="1" si="1"/>
        <v>1</v>
      </c>
      <c r="AB6" s="312" t="str">
        <f t="shared" si="2"/>
        <v>Copper</v>
      </c>
      <c r="AC6" s="169" t="str">
        <f t="shared" ref="AC6:AC69" si="3">B6</f>
        <v>Copper</v>
      </c>
      <c r="AD6" s="169" t="str">
        <f t="shared" ref="AD6:AD69" si="4">IF(C6="Smelter not listed",D6,C6)</f>
        <v>Unknown</v>
      </c>
    </row>
    <row r="7" spans="1:34" s="169" customFormat="1" ht="20.25">
      <c r="A7" s="196"/>
      <c r="B7" s="302" t="s">
        <v>18109</v>
      </c>
      <c r="C7" s="151" t="s">
        <v>296</v>
      </c>
      <c r="D7" s="148" t="s">
        <v>26</v>
      </c>
      <c r="E7" s="148" t="str">
        <f ca="1">IF(ISERROR($V7),"",OFFSET('Smelter Look-up'!$D$4,$V7-4,0)&amp;"")</f>
        <v/>
      </c>
      <c r="F7" s="148">
        <f ca="1">IF(ISERROR($V7),"",OFFSET('Smelter Look-up'!$E$4,$V7-4,0))</f>
        <v>0</v>
      </c>
      <c r="G7" s="148" t="s">
        <v>26</v>
      </c>
      <c r="H7" s="204">
        <f ca="1">IF(ISERROR($V7),"",OFFSET('Smelter Look-up'!$G$4,$V7-4,0))</f>
        <v>0</v>
      </c>
      <c r="I7" s="205">
        <f ca="1">IF(ISERROR($V7),"",OFFSET('Smelter Look-up'!$H$4,$V7-4,0))</f>
        <v>0</v>
      </c>
      <c r="J7" s="205">
        <f ca="1">IF(ISERROR($V7),"",OFFSET('Smelter Look-up'!$I$4,$V7-4,0))</f>
        <v>0</v>
      </c>
      <c r="K7" s="149"/>
      <c r="L7" s="149"/>
      <c r="M7" s="149"/>
      <c r="N7" s="149"/>
      <c r="O7" s="149"/>
      <c r="P7" s="207"/>
      <c r="Q7" s="150"/>
      <c r="R7" s="148" t="str">
        <f ca="1">IF(ISERROR($V7),"",OFFSET('Smelter Look-up'!$C$4,$V7-4,0)&amp;"")</f>
        <v/>
      </c>
      <c r="S7" s="154" t="str">
        <f t="shared" ca="1" si="0"/>
        <v>Unknown</v>
      </c>
      <c r="T7" s="154" t="str">
        <f ca="1">IF(B7="","",IF(ISERROR(MATCH($J7,SorP!$B$1:$B$6261,0)),"",INDIRECT("'SorP'!$A$"&amp;MATCH($S7&amp;$J7,SorP!C:C,0))))</f>
        <v/>
      </c>
      <c r="U7" s="167"/>
      <c r="V7" s="168">
        <f>IF(C7="",NA(),MATCH($B7&amp;$C7,'Smelter Look-up'!$J:$J,0))</f>
        <v>594</v>
      </c>
      <c r="X7" s="169">
        <f t="shared" ca="1" si="1"/>
        <v>1</v>
      </c>
      <c r="AB7" s="312" t="str">
        <f t="shared" si="2"/>
        <v>Nickel</v>
      </c>
      <c r="AC7" s="169" t="str">
        <f t="shared" si="3"/>
        <v>Nickel</v>
      </c>
      <c r="AD7" s="169" t="str">
        <f t="shared" si="4"/>
        <v>Unknown</v>
      </c>
    </row>
    <row r="8" spans="1:34" s="169" customFormat="1" ht="25.5">
      <c r="A8" s="196"/>
      <c r="B8" s="302" t="s">
        <v>18108</v>
      </c>
      <c r="C8" s="151" t="s">
        <v>45</v>
      </c>
      <c r="D8" s="148"/>
      <c r="E8" s="148" t="str">
        <f ca="1">IF(ISERROR($V8),"",OFFSET('Smelter Look-up'!$D$4,$V8-4,0)&amp;"")</f>
        <v>Unknown</v>
      </c>
      <c r="F8" s="148">
        <f ca="1">IF(ISERROR($V8),"",OFFSET('Smelter Look-up'!$E$4,$V8-4,0))</f>
        <v>0</v>
      </c>
      <c r="G8" s="148">
        <f ca="1">IF(C8=$X$4,"Enter smelter details",IF(ISERROR($V8),"",OFFSET('Smelter Look-up'!$F$4,$V8-4,0)))</f>
        <v>0</v>
      </c>
      <c r="H8" s="204">
        <f ca="1">IF(ISERROR($V8),"",OFFSET('Smelter Look-up'!$G$4,$V8-4,0))</f>
        <v>0</v>
      </c>
      <c r="I8" s="205">
        <f ca="1">IF(ISERROR($V8),"",OFFSET('Smelter Look-up'!$H$4,$V8-4,0))</f>
        <v>0</v>
      </c>
      <c r="J8" s="205">
        <f ca="1">IF(ISERROR($V8),"",OFFSET('Smelter Look-up'!$I$4,$V8-4,0))</f>
        <v>0</v>
      </c>
      <c r="K8" s="149"/>
      <c r="L8" s="149"/>
      <c r="M8" s="149"/>
      <c r="N8" s="149"/>
      <c r="O8" s="149"/>
      <c r="P8" s="207"/>
      <c r="Q8" s="150"/>
      <c r="R8" s="148" t="str">
        <f ca="1">IF(ISERROR($V8),"",OFFSET('Smelter Look-up'!$C$4,$V8-4,0)&amp;"")</f>
        <v>Unknown</v>
      </c>
      <c r="S8" s="154" t="str">
        <f t="shared" ca="1" si="0"/>
        <v>Unknown</v>
      </c>
      <c r="T8" s="154" t="str">
        <f ca="1">IF(B8="","",IF(ISERROR(MATCH($J8,SorP!$B$1:$B$6261,0)),"",INDIRECT("'SorP'!$A$"&amp;MATCH($S8&amp;$J8,SorP!C:C,0))))</f>
        <v/>
      </c>
      <c r="U8" s="167"/>
      <c r="V8" s="168">
        <f>IF(C8="",NA(),MATCH($B8&amp;$C8,'Smelter Look-up'!$J:$J,0))</f>
        <v>377</v>
      </c>
      <c r="X8" s="169">
        <f t="shared" ca="1" si="1"/>
        <v>0</v>
      </c>
      <c r="AB8" s="312" t="str">
        <f t="shared" si="2"/>
        <v>Copper</v>
      </c>
      <c r="AC8" s="169" t="str">
        <f t="shared" si="3"/>
        <v>Copper</v>
      </c>
      <c r="AD8" s="169" t="str">
        <f t="shared" si="4"/>
        <v>Smelter not yet identified</v>
      </c>
    </row>
    <row r="9" spans="1:34" s="169" customFormat="1" ht="25.5">
      <c r="A9" s="196"/>
      <c r="B9" s="302" t="s">
        <v>18109</v>
      </c>
      <c r="C9" s="151" t="s">
        <v>45</v>
      </c>
      <c r="D9" s="148"/>
      <c r="E9" s="148" t="str">
        <f ca="1">IF(ISERROR($V9),"",OFFSET('Smelter Look-up'!$D$4,$V9-4,0)&amp;"")</f>
        <v>Unknown</v>
      </c>
      <c r="F9" s="148">
        <f ca="1">IF(ISERROR($V9),"",OFFSET('Smelter Look-up'!$E$4,$V9-4,0))</f>
        <v>0</v>
      </c>
      <c r="G9" s="148">
        <f ca="1">IF(C9=$X$4,"Enter smelter details",IF(ISERROR($V9),"",OFFSET('Smelter Look-up'!$F$4,$V9-4,0)))</f>
        <v>0</v>
      </c>
      <c r="H9" s="204">
        <f ca="1">IF(ISERROR($V9),"",OFFSET('Smelter Look-up'!$G$4,$V9-4,0))</f>
        <v>0</v>
      </c>
      <c r="I9" s="205">
        <f ca="1">IF(ISERROR($V9),"",OFFSET('Smelter Look-up'!$H$4,$V9-4,0))</f>
        <v>0</v>
      </c>
      <c r="J9" s="205">
        <f ca="1">IF(ISERROR($V9),"",OFFSET('Smelter Look-up'!$I$4,$V9-4,0))</f>
        <v>0</v>
      </c>
      <c r="K9" s="149"/>
      <c r="L9" s="149"/>
      <c r="M9" s="149"/>
      <c r="N9" s="149"/>
      <c r="O9" s="149"/>
      <c r="P9" s="207"/>
      <c r="Q9" s="150"/>
      <c r="R9" s="148" t="str">
        <f ca="1">IF(ISERROR($V9),"",OFFSET('Smelter Look-up'!$C$4,$V9-4,0)&amp;"")</f>
        <v>Unknown</v>
      </c>
      <c r="S9" s="154" t="str">
        <f t="shared" ca="1" si="0"/>
        <v>Unknown</v>
      </c>
      <c r="T9" s="154" t="str">
        <f ca="1">IF(B9="","",IF(ISERROR(MATCH($J9,SorP!$B$1:$B$6261,0)),"",INDIRECT("'SorP'!$A$"&amp;MATCH($S9&amp;$J9,SorP!C:C,0))))</f>
        <v/>
      </c>
      <c r="U9" s="167"/>
      <c r="V9" s="168">
        <f>IF(C9="",NA(),MATCH($B9&amp;$C9,'Smelter Look-up'!$J:$J,0))</f>
        <v>595</v>
      </c>
      <c r="X9" s="169">
        <f t="shared" ca="1" si="1"/>
        <v>0</v>
      </c>
      <c r="AB9" s="312" t="str">
        <f t="shared" si="2"/>
        <v>Nickel</v>
      </c>
      <c r="AC9" s="169" t="str">
        <f t="shared" si="3"/>
        <v>Nickel</v>
      </c>
      <c r="AD9" s="169" t="str">
        <f t="shared" si="4"/>
        <v>Smelter not yet identified</v>
      </c>
    </row>
    <row r="10" spans="1:34" s="169" customFormat="1" ht="89.25">
      <c r="A10" s="196"/>
      <c r="B10" s="302" t="s">
        <v>40</v>
      </c>
      <c r="C10" s="151" t="s">
        <v>70</v>
      </c>
      <c r="D10" s="148"/>
      <c r="E10" s="148" t="s">
        <v>71</v>
      </c>
      <c r="F10" s="148" t="s">
        <v>72</v>
      </c>
      <c r="G10" s="148" t="str">
        <f ca="1">IF(C10=$X$4,"Enter smelter details",IF(ISERROR($V10),"",OFFSET('Smelter Look-up'!$F$4,$V10-4,0)))</f>
        <v>RMI</v>
      </c>
      <c r="H10" s="204">
        <f ca="1">IF(ISERROR($V10),"",OFFSET('Smelter Look-up'!$G$4,$V10-4,0))</f>
        <v>0</v>
      </c>
      <c r="I10" s="205" t="str">
        <f ca="1">IF(ISERROR($V10),"",OFFSET('Smelter Look-up'!$H$4,$V10-4,0))</f>
        <v>Marrakech</v>
      </c>
      <c r="J10" s="205" t="str">
        <f ca="1">IF(ISERROR($V10),"",OFFSET('Smelter Look-up'!$I$4,$V10-4,0))</f>
        <v>Marrakech-Safi</v>
      </c>
      <c r="K10" s="149"/>
      <c r="L10" s="149"/>
      <c r="M10" s="149"/>
      <c r="N10" s="149"/>
      <c r="O10" s="149"/>
      <c r="P10" s="207"/>
      <c r="Q10" s="150"/>
      <c r="R10" s="148" t="str">
        <f ca="1">IF(ISERROR($V10),"",OFFSET('Smelter Look-up'!$C$4,$V10-4,0)&amp;"")</f>
        <v>Complexe hydrométallurgique de Guemassa</v>
      </c>
      <c r="S10" s="154" t="str">
        <f t="shared" ca="1" si="0"/>
        <v>MA</v>
      </c>
      <c r="T10" s="154" t="str">
        <f ca="1">IF(B10="","",IF(ISERROR(MATCH($J10,SorP!$B$1:$B$6261,0)),"",INDIRECT("'SorP'!$A$"&amp;MATCH($S10&amp;$J10,SorP!C:C,0))))</f>
        <v>MA-07</v>
      </c>
      <c r="U10" s="167"/>
      <c r="V10" s="168">
        <f>IF(C10="",NA(),MATCH($B10&amp;$C10,'Smelter Look-up'!$J:$J,0))</f>
        <v>15</v>
      </c>
      <c r="X10" s="169">
        <f t="shared" si="1"/>
        <v>0</v>
      </c>
      <c r="AB10" s="312" t="str">
        <f t="shared" si="2"/>
        <v>Cobalt</v>
      </c>
      <c r="AC10" s="169" t="str">
        <f t="shared" si="3"/>
        <v>Cobalt</v>
      </c>
      <c r="AD10" s="169" t="str">
        <f t="shared" si="4"/>
        <v>Compagnie de Tifnout Tiranimine</v>
      </c>
    </row>
    <row r="11" spans="1:34" s="169" customFormat="1" ht="102">
      <c r="A11" s="197"/>
      <c r="B11" s="302" t="s">
        <v>40</v>
      </c>
      <c r="C11" s="151" t="s">
        <v>229</v>
      </c>
      <c r="D11" s="148"/>
      <c r="E11" s="148" t="s">
        <v>133</v>
      </c>
      <c r="F11" s="148" t="s">
        <v>230</v>
      </c>
      <c r="G11" s="148"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0"/>
        <v>JP</v>
      </c>
      <c r="T11" s="154" t="str">
        <f ca="1">IF(B11="","",IF(ISERROR(MATCH($J11,SorP!$B$1:$B$6261,0)),"",INDIRECT("'SorP'!$A$"&amp;MATCH($S11&amp;$J11,SorP!C:C,0))))</f>
        <v>JP-38</v>
      </c>
      <c r="U11" s="167"/>
      <c r="V11" s="168">
        <f>IF(C11="",NA(),MATCH($B11&amp;$C11,'Smelter Look-up'!$J:$J,0))</f>
        <v>147</v>
      </c>
      <c r="X11" s="169">
        <f t="shared" si="1"/>
        <v>0</v>
      </c>
      <c r="AB11" s="312" t="str">
        <f t="shared" si="2"/>
        <v>Cobalt</v>
      </c>
      <c r="AC11" s="169" t="str">
        <f t="shared" si="3"/>
        <v>Cobalt</v>
      </c>
      <c r="AD11" s="169" t="str">
        <f t="shared" si="4"/>
        <v>Sumitomo Metal Mining</v>
      </c>
    </row>
    <row r="12" spans="1:34" s="169" customFormat="1" ht="51">
      <c r="A12" s="196"/>
      <c r="B12" s="302" t="s">
        <v>18108</v>
      </c>
      <c r="C12" s="151" t="s">
        <v>115</v>
      </c>
      <c r="D12" s="148"/>
      <c r="E12" s="148" t="s">
        <v>95</v>
      </c>
      <c r="F12" s="148" t="s">
        <v>18136</v>
      </c>
      <c r="G12" s="148" t="str">
        <f ca="1">IF(C12=$X$4,"Enter smelter details",IF(ISERROR($V12),"",OFFSET('Smelter Look-up'!$F$4,$V12-4,0)))</f>
        <v>RMI</v>
      </c>
      <c r="H12" s="204">
        <f ca="1">IF(ISERROR($V12),"",OFFSET('Smelter Look-up'!$G$4,$V12-4,0))</f>
        <v>0</v>
      </c>
      <c r="I12" s="205" t="str">
        <f ca="1">IF(ISERROR($V12),"",OFFSET('Smelter Look-up'!$H$4,$V12-4,0))</f>
        <v>Kristiansand</v>
      </c>
      <c r="J12" s="205" t="str">
        <f ca="1">IF(ISERROR($V12),"",OFFSET('Smelter Look-up'!$I$4,$V12-4,0))</f>
        <v>Agder</v>
      </c>
      <c r="K12" s="149"/>
      <c r="L12" s="149"/>
      <c r="M12" s="149"/>
      <c r="N12" s="149"/>
      <c r="O12" s="149"/>
      <c r="P12" s="207"/>
      <c r="Q12" s="150"/>
      <c r="R12" s="148" t="str">
        <f ca="1">IF(ISERROR($V12),"",OFFSET('Smelter Look-up'!$C$4,$V12-4,0)&amp;"")</f>
        <v>Glencore Nikkelverk AS</v>
      </c>
      <c r="S12" s="154" t="str">
        <f t="shared" ca="1" si="0"/>
        <v>CA</v>
      </c>
      <c r="T12" s="154" t="e">
        <f ca="1">IF(B12="","",IF(ISERROR(MATCH($J12,SorP!$B$1:$B$6261,0)),"",INDIRECT("'SorP'!$A$"&amp;MATCH($S12&amp;$J12,SorP!C:C,0))))</f>
        <v>#N/A</v>
      </c>
      <c r="U12" s="167"/>
      <c r="V12" s="168">
        <f>IF(C12="",NA(),MATCH($B12&amp;$C12,'Smelter Look-up'!$J:$J,0))</f>
        <v>255</v>
      </c>
      <c r="X12" s="169">
        <f t="shared" si="1"/>
        <v>0</v>
      </c>
      <c r="AB12" s="312" t="str">
        <f t="shared" si="2"/>
        <v>Copper</v>
      </c>
      <c r="AC12" s="169" t="str">
        <f t="shared" si="3"/>
        <v>Copper</v>
      </c>
      <c r="AD12" s="169" t="str">
        <f t="shared" si="4"/>
        <v>Glencore Nikkelverk Refinery</v>
      </c>
    </row>
    <row r="13" spans="1:34" s="169" customFormat="1" ht="25.5">
      <c r="A13" s="196"/>
      <c r="B13" s="302" t="s">
        <v>18109</v>
      </c>
      <c r="C13" s="151" t="s">
        <v>296</v>
      </c>
      <c r="D13" s="148" t="s">
        <v>18238</v>
      </c>
      <c r="E13" s="148" t="s">
        <v>95</v>
      </c>
      <c r="F13" s="148" t="s">
        <v>18239</v>
      </c>
      <c r="G13" s="148" t="str">
        <f ca="1">IF(C13=$X$4,"Enter smelter details",IF(ISERROR($V13),"",OFFSET('Smelter Look-up'!$F$4,$V13-4,0)))</f>
        <v>Enter smelter details</v>
      </c>
      <c r="H13" s="204">
        <f ca="1">IF(ISERROR($V13),"",OFFSET('Smelter Look-up'!$G$4,$V13-4,0))</f>
        <v>0</v>
      </c>
      <c r="I13" s="205">
        <f ca="1">IF(ISERROR($V13),"",OFFSET('Smelter Look-up'!$H$4,$V13-4,0))</f>
        <v>0</v>
      </c>
      <c r="J13" s="205">
        <f ca="1">IF(ISERROR($V13),"",OFFSET('Smelter Look-up'!$I$4,$V13-4,0))</f>
        <v>0</v>
      </c>
      <c r="K13" s="149"/>
      <c r="L13" s="149"/>
      <c r="M13" s="149"/>
      <c r="N13" s="149"/>
      <c r="O13" s="149"/>
      <c r="P13" s="207"/>
      <c r="Q13" s="150"/>
      <c r="R13" s="148" t="str">
        <f ca="1">IF(ISERROR($V13),"",OFFSET('Smelter Look-up'!$C$4,$V13-4,0)&amp;"")</f>
        <v/>
      </c>
      <c r="S13" s="154" t="str">
        <f t="shared" ref="S13:S63" ca="1" si="5">IF(B13="","",IF(ISERROR(MATCH($E13,CL,0)),"Unknown",INDIRECT("'C'!$A$"&amp;MATCH($E13,CL,0)+1)))</f>
        <v>CA</v>
      </c>
      <c r="T13" s="154" t="str">
        <f ca="1">IF(B13="","",IF(ISERROR(MATCH($J13,SorP!$B$1:$B$6261,0)),"",INDIRECT("'SorP'!$A$"&amp;MATCH($S13&amp;$J13,SorP!C:C,0))))</f>
        <v/>
      </c>
      <c r="U13" s="167"/>
      <c r="V13" s="168">
        <f>IF(C13="",NA(),MATCH($B13&amp;$C13,'Smelter Look-up'!$J:$J,0))</f>
        <v>594</v>
      </c>
      <c r="X13" s="169">
        <f t="shared" ref="X13:X62" si="6">IF(AND(C13="Smelter not listed",OR(LEN(D13)=0,LEN(E13)=0)),1,0)</f>
        <v>0</v>
      </c>
      <c r="AB13" s="312" t="str">
        <f t="shared" ref="AB13:AB69" si="7">IF(C13="","",B13)</f>
        <v>Nickel</v>
      </c>
      <c r="AC13" s="169" t="str">
        <f t="shared" si="3"/>
        <v>Nickel</v>
      </c>
      <c r="AD13" s="169" t="str">
        <f t="shared" si="4"/>
        <v>Vale Copper Cliff Nickel Refinery</v>
      </c>
    </row>
    <row r="14" spans="1:34" s="169" customFormat="1" ht="76.5">
      <c r="A14" s="197"/>
      <c r="B14" s="302" t="s">
        <v>18109</v>
      </c>
      <c r="C14" s="151" t="s">
        <v>86</v>
      </c>
      <c r="D14" s="148"/>
      <c r="E14" s="148" t="s">
        <v>87</v>
      </c>
      <c r="F14" s="148" t="s">
        <v>18335</v>
      </c>
      <c r="G14" s="148"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5"/>
        <v>MG</v>
      </c>
      <c r="T14" s="154" t="str">
        <f ca="1">IF(B14="","",IF(ISERROR(MATCH($J14,SorP!$B$1:$B$6261,0)),"",INDIRECT("'SorP'!$A$"&amp;MATCH($S14&amp;$J14,SorP!C:C,0))))</f>
        <v>MG-A</v>
      </c>
      <c r="U14" s="167"/>
      <c r="V14" s="168">
        <f>IF(C14="",NA(),MATCH($B14&amp;$C14,'Smelter Look-up'!$J:$J,0))</f>
        <v>518</v>
      </c>
      <c r="X14" s="169">
        <f t="shared" si="6"/>
        <v>0</v>
      </c>
      <c r="AB14" s="312" t="str">
        <f t="shared" si="7"/>
        <v>Nickel</v>
      </c>
      <c r="AC14" s="169" t="str">
        <f t="shared" si="3"/>
        <v>Nickel</v>
      </c>
      <c r="AD14" s="169" t="str">
        <f t="shared" si="4"/>
        <v>Dynatec Madagascar Company</v>
      </c>
    </row>
    <row r="15" spans="1:34" s="169" customFormat="1" ht="25.5">
      <c r="A15" s="197"/>
      <c r="B15" s="302" t="s">
        <v>18109</v>
      </c>
      <c r="C15" s="151" t="s">
        <v>296</v>
      </c>
      <c r="D15" s="148" t="s">
        <v>20420</v>
      </c>
      <c r="E15" s="148" t="s">
        <v>95</v>
      </c>
      <c r="F15" s="148" t="s">
        <v>18136</v>
      </c>
      <c r="G15" s="148" t="str">
        <f ca="1">IF(C15=$X$4,"Enter smelter details",IF(ISERROR($V15),"",OFFSET('Smelter Look-up'!$F$4,$V15-4,0)))</f>
        <v>Enter smelter details</v>
      </c>
      <c r="H15" s="204">
        <f ca="1">IF(ISERROR($V15),"",OFFSET('Smelter Look-up'!$G$4,$V15-4,0))</f>
        <v>0</v>
      </c>
      <c r="I15" s="205">
        <f ca="1">IF(ISERROR($V15),"",OFFSET('Smelter Look-up'!$H$4,$V15-4,0))</f>
        <v>0</v>
      </c>
      <c r="J15" s="205">
        <f ca="1">IF(ISERROR($V15),"",OFFSET('Smelter Look-up'!$I$4,$V15-4,0))</f>
        <v>0</v>
      </c>
      <c r="K15" s="149"/>
      <c r="L15" s="149"/>
      <c r="M15" s="149"/>
      <c r="N15" s="149"/>
      <c r="O15" s="149"/>
      <c r="P15" s="207"/>
      <c r="Q15" s="150"/>
      <c r="R15" s="148" t="str">
        <f ca="1">IF(ISERROR($V15),"",OFFSET('Smelter Look-up'!$C$4,$V15-4,0)&amp;"")</f>
        <v/>
      </c>
      <c r="S15" s="154" t="str">
        <f t="shared" ca="1" si="5"/>
        <v>CA</v>
      </c>
      <c r="T15" s="154" t="str">
        <f ca="1">IF(B15="","",IF(ISERROR(MATCH($J15,SorP!$B$1:$B$6261,0)),"",INDIRECT("'SorP'!$A$"&amp;MATCH($S15&amp;$J15,SorP!C:C,0))))</f>
        <v/>
      </c>
      <c r="U15" s="167"/>
      <c r="V15" s="168">
        <f>IF(C15="",NA(),MATCH($B15&amp;$C15,'Smelter Look-up'!$J:$J,0))</f>
        <v>594</v>
      </c>
      <c r="X15" s="169">
        <f t="shared" si="6"/>
        <v>0</v>
      </c>
      <c r="AB15" s="312" t="str">
        <f t="shared" si="7"/>
        <v>Nickel</v>
      </c>
      <c r="AC15" s="169" t="str">
        <f t="shared" si="3"/>
        <v>Nickel</v>
      </c>
      <c r="AD15" s="169" t="str">
        <f t="shared" si="4"/>
        <v>Glencore Canada</v>
      </c>
    </row>
    <row r="16" spans="1:34" s="169" customFormat="1" ht="25.5">
      <c r="A16" s="196"/>
      <c r="B16" s="302" t="s">
        <v>18109</v>
      </c>
      <c r="C16" s="151" t="s">
        <v>296</v>
      </c>
      <c r="D16" s="148" t="s">
        <v>19442</v>
      </c>
      <c r="E16" s="148" t="s">
        <v>116</v>
      </c>
      <c r="F16" s="148">
        <v>0</v>
      </c>
      <c r="G16" s="148" t="str">
        <f ca="1">IF(C16=$X$4,"Enter smelter details",IF(ISERROR($V16),"",OFFSET('Smelter Look-up'!$F$4,$V16-4,0)))</f>
        <v>Enter smelter details</v>
      </c>
      <c r="H16" s="204">
        <f ca="1">IF(ISERROR($V16),"",OFFSET('Smelter Look-up'!$G$4,$V16-4,0))</f>
        <v>0</v>
      </c>
      <c r="I16" s="205">
        <f ca="1">IF(ISERROR($V16),"",OFFSET('Smelter Look-up'!$H$4,$V16-4,0))</f>
        <v>0</v>
      </c>
      <c r="J16" s="205">
        <f ca="1">IF(ISERROR($V16),"",OFFSET('Smelter Look-up'!$I$4,$V16-4,0))</f>
        <v>0</v>
      </c>
      <c r="K16" s="149"/>
      <c r="L16" s="149"/>
      <c r="M16" s="149"/>
      <c r="N16" s="149"/>
      <c r="O16" s="149"/>
      <c r="P16" s="207"/>
      <c r="Q16" s="150"/>
      <c r="R16" s="148" t="str">
        <f ca="1">IF(ISERROR($V16),"",OFFSET('Smelter Look-up'!$C$4,$V16-4,0)&amp;"")</f>
        <v/>
      </c>
      <c r="S16" s="154" t="str">
        <f t="shared" ca="1" si="5"/>
        <v>NO</v>
      </c>
      <c r="T16" s="154" t="str">
        <f ca="1">IF(B16="","",IF(ISERROR(MATCH($J16,SorP!$B$1:$B$6261,0)),"",INDIRECT("'SorP'!$A$"&amp;MATCH($S16&amp;$J16,SorP!C:C,0))))</f>
        <v/>
      </c>
      <c r="U16" s="167"/>
      <c r="V16" s="168">
        <f>IF(C16="",NA(),MATCH($B16&amp;$C16,'Smelter Look-up'!$J:$J,0))</f>
        <v>594</v>
      </c>
      <c r="X16" s="169">
        <f t="shared" si="6"/>
        <v>0</v>
      </c>
      <c r="AB16" s="312" t="str">
        <f t="shared" si="7"/>
        <v>Nickel</v>
      </c>
      <c r="AC16" s="169" t="str">
        <f t="shared" si="3"/>
        <v>Nickel</v>
      </c>
      <c r="AD16" s="169" t="str">
        <f t="shared" si="4"/>
        <v>Glencore Nikkelverk AS</v>
      </c>
    </row>
    <row r="17" spans="1:30" s="169" customFormat="1" ht="25.5">
      <c r="A17" s="196"/>
      <c r="B17" s="302" t="s">
        <v>18109</v>
      </c>
      <c r="C17" s="151" t="s">
        <v>45</v>
      </c>
      <c r="D17" s="148" t="s">
        <v>20421</v>
      </c>
      <c r="E17" s="148" t="s">
        <v>1733</v>
      </c>
      <c r="F17" s="148">
        <v>0</v>
      </c>
      <c r="G17" s="148">
        <f ca="1">IF(C17=$X$4,"Enter smelter details",IF(ISERROR($V17),"",OFFSET('Smelter Look-up'!$F$4,$V17-4,0)))</f>
        <v>0</v>
      </c>
      <c r="H17" s="204">
        <f ca="1">IF(ISERROR($V17),"",OFFSET('Smelter Look-up'!$G$4,$V17-4,0))</f>
        <v>0</v>
      </c>
      <c r="I17" s="205">
        <f ca="1">IF(ISERROR($V17),"",OFFSET('Smelter Look-up'!$H$4,$V17-4,0))</f>
        <v>0</v>
      </c>
      <c r="J17" s="205">
        <f ca="1">IF(ISERROR($V17),"",OFFSET('Smelter Look-up'!$I$4,$V17-4,0))</f>
        <v>0</v>
      </c>
      <c r="K17" s="149"/>
      <c r="L17" s="149"/>
      <c r="M17" s="149"/>
      <c r="N17" s="149"/>
      <c r="O17" s="149"/>
      <c r="P17" s="207"/>
      <c r="Q17" s="150"/>
      <c r="R17" s="148" t="str">
        <f ca="1">IF(ISERROR($V17),"",OFFSET('Smelter Look-up'!$C$4,$V17-4,0)&amp;"")</f>
        <v>Unknown</v>
      </c>
      <c r="S17" s="154" t="str">
        <f t="shared" ca="1" si="5"/>
        <v>ZA</v>
      </c>
      <c r="T17" s="154" t="str">
        <f ca="1">IF(B17="","",IF(ISERROR(MATCH($J17,SorP!$B$1:$B$6261,0)),"",INDIRECT("'SorP'!$A$"&amp;MATCH($S17&amp;$J17,SorP!C:C,0))))</f>
        <v/>
      </c>
      <c r="U17" s="167"/>
      <c r="V17" s="168">
        <f>IF(C17="",NA(),MATCH($B17&amp;$C17,'Smelter Look-up'!$J:$J,0))</f>
        <v>595</v>
      </c>
      <c r="X17" s="169">
        <f t="shared" si="6"/>
        <v>0</v>
      </c>
      <c r="AB17" s="312" t="str">
        <f t="shared" si="7"/>
        <v>Nickel</v>
      </c>
      <c r="AC17" s="169" t="str">
        <f t="shared" si="3"/>
        <v>Nickel</v>
      </c>
      <c r="AD17" s="169" t="str">
        <f t="shared" si="4"/>
        <v>Smelter not yet identified</v>
      </c>
    </row>
    <row r="18" spans="1:30" s="169" customFormat="1" ht="38.25">
      <c r="A18" s="196"/>
      <c r="B18" s="302" t="s">
        <v>18108</v>
      </c>
      <c r="C18" s="151" t="s">
        <v>18115</v>
      </c>
      <c r="D18" s="148"/>
      <c r="E18" s="148" t="s">
        <v>1739</v>
      </c>
      <c r="F18" s="148" t="s">
        <v>18116</v>
      </c>
      <c r="G18" s="148" t="str">
        <f ca="1">IF(C18=$X$4,"Enter smelter details",IF(ISERROR($V18),"",OFFSET('Smelter Look-up'!$F$4,$V18-4,0)))</f>
        <v>RMI</v>
      </c>
      <c r="H18" s="204">
        <f ca="1">IF(ISERROR($V18),"",OFFSET('Smelter Look-up'!$G$4,$V18-4,0))</f>
        <v>0</v>
      </c>
      <c r="I18" s="205" t="str">
        <f ca="1">IF(ISERROR($V18),"",OFFSET('Smelter Look-up'!$H$4,$V18-4,0))</f>
        <v>Huelva</v>
      </c>
      <c r="J18" s="205" t="str">
        <f ca="1">IF(ISERROR($V18),"",OFFSET('Smelter Look-up'!$I$4,$V18-4,0))</f>
        <v>Huelva</v>
      </c>
      <c r="K18" s="149"/>
      <c r="L18" s="149"/>
      <c r="M18" s="149"/>
      <c r="N18" s="149"/>
      <c r="O18" s="149"/>
      <c r="P18" s="207"/>
      <c r="Q18" s="150"/>
      <c r="R18" s="148" t="str">
        <f ca="1">IF(ISERROR($V18),"",OFFSET('Smelter Look-up'!$C$4,$V18-4,0)&amp;"")</f>
        <v>Atlantic Copper, S.L.U.</v>
      </c>
      <c r="S18" s="154" t="str">
        <f t="shared" ca="1" si="5"/>
        <v>ES</v>
      </c>
      <c r="T18" s="154" t="str">
        <f ca="1">IF(B18="","",IF(ISERROR(MATCH($J18,SorP!$B$1:$B$6261,0)),"",INDIRECT("'SorP'!$A$"&amp;MATCH($S18&amp;$J18,SorP!C:C,0))))</f>
        <v>ES-H</v>
      </c>
      <c r="U18" s="167"/>
      <c r="V18" s="168">
        <f>IF(C18="",NA(),MATCH($B18&amp;$C18,'Smelter Look-up'!$J:$J,0))</f>
        <v>185</v>
      </c>
      <c r="X18" s="169">
        <f t="shared" si="6"/>
        <v>0</v>
      </c>
      <c r="AB18" s="312" t="str">
        <f t="shared" si="7"/>
        <v>Copper</v>
      </c>
      <c r="AC18" s="169" t="str">
        <f t="shared" si="3"/>
        <v>Copper</v>
      </c>
      <c r="AD18" s="169" t="str">
        <f t="shared" si="4"/>
        <v>Atlantic Copper S.A.</v>
      </c>
    </row>
    <row r="19" spans="1:30" s="169" customFormat="1" ht="25.5">
      <c r="A19" s="196"/>
      <c r="B19" s="302" t="s">
        <v>18109</v>
      </c>
      <c r="C19" s="151" t="s">
        <v>296</v>
      </c>
      <c r="D19" s="148" t="s">
        <v>20422</v>
      </c>
      <c r="E19" s="148" t="s">
        <v>244</v>
      </c>
      <c r="F19" s="148">
        <v>0</v>
      </c>
      <c r="G19" s="148" t="str">
        <f ca="1">IF(C19=$X$4,"Enter smelter details",IF(ISERROR($V19),"",OFFSET('Smelter Look-up'!$F$4,$V19-4,0)))</f>
        <v>Enter smelter details</v>
      </c>
      <c r="H19" s="204">
        <f ca="1">IF(ISERROR($V19),"",OFFSET('Smelter Look-up'!$G$4,$V19-4,0))</f>
        <v>0</v>
      </c>
      <c r="I19" s="205">
        <f ca="1">IF(ISERROR($V19),"",OFFSET('Smelter Look-up'!$H$4,$V19-4,0))</f>
        <v>0</v>
      </c>
      <c r="J19" s="205">
        <f ca="1">IF(ISERROR($V19),"",OFFSET('Smelter Look-up'!$I$4,$V19-4,0))</f>
        <v>0</v>
      </c>
      <c r="K19" s="149"/>
      <c r="L19" s="149"/>
      <c r="M19" s="149"/>
      <c r="N19" s="149"/>
      <c r="O19" s="149"/>
      <c r="P19" s="207"/>
      <c r="Q19" s="150"/>
      <c r="R19" s="148" t="str">
        <f ca="1">IF(ISERROR($V19),"",OFFSET('Smelter Look-up'!$C$4,$V19-4,0)&amp;"")</f>
        <v/>
      </c>
      <c r="S19" s="154" t="str">
        <f t="shared" ca="1" si="5"/>
        <v>ID</v>
      </c>
      <c r="T19" s="154" t="str">
        <f ca="1">IF(B19="","",IF(ISERROR(MATCH($J19,SorP!$B$1:$B$6261,0)),"",INDIRECT("'SorP'!$A$"&amp;MATCH($S19&amp;$J19,SorP!C:C,0))))</f>
        <v/>
      </c>
      <c r="U19" s="167"/>
      <c r="V19" s="168">
        <f>IF(C19="",NA(),MATCH($B19&amp;$C19,'Smelter Look-up'!$J:$J,0))</f>
        <v>594</v>
      </c>
      <c r="X19" s="169">
        <f t="shared" si="6"/>
        <v>0</v>
      </c>
      <c r="AB19" s="312" t="str">
        <f t="shared" si="7"/>
        <v>Nickel</v>
      </c>
      <c r="AC19" s="169" t="str">
        <f t="shared" si="3"/>
        <v>Nickel</v>
      </c>
      <c r="AD19" s="169" t="str">
        <f t="shared" si="4"/>
        <v>PT Vale Indonesia</v>
      </c>
    </row>
    <row r="20" spans="1:30" s="169" customFormat="1" ht="89.25">
      <c r="A20" s="197"/>
      <c r="B20" s="302" t="s">
        <v>18109</v>
      </c>
      <c r="C20" s="151" t="s">
        <v>272</v>
      </c>
      <c r="D20" s="148" t="s">
        <v>20423</v>
      </c>
      <c r="E20" s="148" t="s">
        <v>95</v>
      </c>
      <c r="F20" s="148" t="s">
        <v>273</v>
      </c>
      <c r="G20" s="148" t="str">
        <f ca="1">IF(C20=$X$4,"Enter smelter details",IF(ISERROR($V20),"",OFFSET('Smelter Look-up'!$F$4,$V20-4,0)))</f>
        <v>RMI</v>
      </c>
      <c r="H20" s="204">
        <f ca="1">IF(ISERROR($V20),"",OFFSET('Smelter Look-up'!$G$4,$V20-4,0))</f>
        <v>0</v>
      </c>
      <c r="I20" s="205" t="str">
        <f ca="1">IF(ISERROR($V20),"",OFFSET('Smelter Look-up'!$H$4,$V20-4,0))</f>
        <v>Long Harbour</v>
      </c>
      <c r="J20" s="205" t="str">
        <f ca="1">IF(ISERROR($V20),"",OFFSET('Smelter Look-up'!$I$4,$V20-4,0))</f>
        <v>Newfoundland and Labrador</v>
      </c>
      <c r="K20" s="149"/>
      <c r="L20" s="149"/>
      <c r="M20" s="149"/>
      <c r="N20" s="149"/>
      <c r="O20" s="149"/>
      <c r="P20" s="207"/>
      <c r="Q20" s="150"/>
      <c r="R20" s="148" t="str">
        <f ca="1">IF(ISERROR($V20),"",OFFSET('Smelter Look-up'!$C$4,$V20-4,0)&amp;"")</f>
        <v>Vale – Long Harbour Processing Plant (LHPP)</v>
      </c>
      <c r="S20" s="154" t="str">
        <f t="shared" ca="1" si="5"/>
        <v>CA</v>
      </c>
      <c r="T20" s="154" t="str">
        <f ca="1">IF(B20="","",IF(ISERROR(MATCH($J20,SorP!$B$1:$B$6261,0)),"",INDIRECT("'SorP'!$A$"&amp;MATCH($S20&amp;$J20,SorP!C:C,0))))</f>
        <v>CA-NL</v>
      </c>
      <c r="U20" s="167"/>
      <c r="V20" s="168">
        <f>IF(C20="",NA(),MATCH($B20&amp;$C20,'Smelter Look-up'!$J:$J,0))</f>
        <v>587</v>
      </c>
      <c r="X20" s="169">
        <f t="shared" si="6"/>
        <v>0</v>
      </c>
      <c r="AB20" s="312" t="str">
        <f t="shared" si="7"/>
        <v>Nickel</v>
      </c>
      <c r="AC20" s="169" t="str">
        <f t="shared" si="3"/>
        <v>Nickel</v>
      </c>
      <c r="AD20" s="169" t="str">
        <f t="shared" si="4"/>
        <v>Vale – Long Harbour Processing Plant (LHPP)</v>
      </c>
    </row>
    <row r="21" spans="1:30" s="169" customFormat="1" ht="102">
      <c r="A21" s="196"/>
      <c r="B21" s="302" t="s">
        <v>18109</v>
      </c>
      <c r="C21" s="151" t="s">
        <v>18159</v>
      </c>
      <c r="D21" s="148"/>
      <c r="E21" s="148" t="s">
        <v>1733</v>
      </c>
      <c r="F21" s="148" t="s">
        <v>18350</v>
      </c>
      <c r="G21" s="148" t="str">
        <f ca="1">IF(C21=$X$4,"Enter smelter details",IF(ISERROR($V21),"",OFFSET('Smelter Look-up'!$F$4,$V21-4,0)))</f>
        <v>RMI</v>
      </c>
      <c r="H21" s="204">
        <f ca="1">IF(ISERROR($V21),"",OFFSET('Smelter Look-up'!$G$4,$V21-4,0))</f>
        <v>0</v>
      </c>
      <c r="I21" s="205" t="str">
        <f ca="1">IF(ISERROR($V21),"",OFFSET('Smelter Look-up'!$H$4,$V21-4,0))</f>
        <v>Springs</v>
      </c>
      <c r="J21" s="205" t="str">
        <f ca="1">IF(ISERROR($V21),"",OFFSET('Smelter Look-up'!$I$4,$V21-4,0))</f>
        <v>Gauteng</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IF(B21="","",IF(ISERROR(MATCH($J21,SorP!$B$1:$B$6261,0)),"",INDIRECT("'SorP'!$A$"&amp;MATCH($S21&amp;$J21,SorP!C:C,0))))</f>
        <v>ZA-GP</v>
      </c>
      <c r="U21" s="167"/>
      <c r="V21" s="168">
        <f>IF(C21="",NA(),MATCH($B21&amp;$C21,'Smelter Look-up'!$J:$J,0))</f>
        <v>540</v>
      </c>
      <c r="X21" s="169">
        <f t="shared" si="6"/>
        <v>0</v>
      </c>
      <c r="AB21" s="312" t="str">
        <f t="shared" si="7"/>
        <v>Nickel</v>
      </c>
      <c r="AC21" s="169" t="str">
        <f t="shared" si="3"/>
        <v>Nickel</v>
      </c>
      <c r="AD21" s="169" t="str">
        <f t="shared" si="4"/>
        <v>Impala Platinum - Base Metal Refinery (BMR)</v>
      </c>
    </row>
    <row r="22" spans="1:30" s="169" customFormat="1" ht="153">
      <c r="A22" s="196"/>
      <c r="B22" s="302" t="s">
        <v>40</v>
      </c>
      <c r="C22" s="151" t="s">
        <v>182</v>
      </c>
      <c r="D22" s="148"/>
      <c r="E22" s="148" t="s">
        <v>65</v>
      </c>
      <c r="F22" s="148" t="s">
        <v>183</v>
      </c>
      <c r="G22" s="148" t="str">
        <f ca="1">IF(C22=$X$4,"Enter smelter details",IF(ISERROR($V22),"",OFFSET('Smelter Look-up'!$F$4,$V22-4,0)))</f>
        <v>RMI</v>
      </c>
      <c r="H22" s="204">
        <f ca="1">IF(ISERROR($V22),"",OFFSET('Smelter Look-up'!$G$4,$V22-4,0))</f>
        <v>0</v>
      </c>
      <c r="I22" s="205" t="str">
        <f ca="1">IF(ISERROR($V22),"",OFFSET('Smelter Look-up'!$H$4,$V22-4,0))</f>
        <v>Lanzhou</v>
      </c>
      <c r="J22" s="205" t="str">
        <f ca="1">IF(ISERROR($V22),"",OFFSET('Smelter Look-up'!$I$4,$V22-4,0))</f>
        <v>Gansu Sheng</v>
      </c>
      <c r="K22" s="149"/>
      <c r="L22" s="149"/>
      <c r="M22" s="149"/>
      <c r="N22" s="149"/>
      <c r="O22" s="149"/>
      <c r="P22" s="207"/>
      <c r="Q22" s="150"/>
      <c r="R22" s="148" t="str">
        <f ca="1">IF(ISERROR($V22),"",OFFSET('Smelter Look-up'!$C$4,$V22-4,0)&amp;"")</f>
        <v>Lanzhou Jinchuan Advanced Materials Technology Co., Ltd.</v>
      </c>
      <c r="S22" s="154" t="str">
        <f t="shared" ca="1" si="5"/>
        <v>CN</v>
      </c>
      <c r="T22" s="154" t="str">
        <f ca="1">IF(B22="","",IF(ISERROR(MATCH($J22,SorP!$B$1:$B$6261,0)),"",INDIRECT("'SorP'!$A$"&amp;MATCH($S22&amp;$J22,SorP!C:C,0))))</f>
        <v>CN-GS</v>
      </c>
      <c r="U22" s="167"/>
      <c r="V22" s="168">
        <f>IF(C22="",NA(),MATCH($B22&amp;$C22,'Smelter Look-up'!$J:$J,0))</f>
        <v>93</v>
      </c>
      <c r="X22" s="169">
        <f t="shared" si="6"/>
        <v>0</v>
      </c>
      <c r="AB22" s="312" t="str">
        <f t="shared" si="7"/>
        <v>Cobalt</v>
      </c>
      <c r="AC22" s="169" t="str">
        <f t="shared" si="3"/>
        <v>Cobalt</v>
      </c>
      <c r="AD22" s="169" t="str">
        <f t="shared" si="4"/>
        <v>Lanzhou Jinchuan Advanced Materials Technology Co., Ltd.</v>
      </c>
    </row>
    <row r="23" spans="1:30" s="169" customFormat="1" ht="76.5">
      <c r="A23" s="196"/>
      <c r="B23" s="302" t="s">
        <v>40</v>
      </c>
      <c r="C23" s="151" t="s">
        <v>11938</v>
      </c>
      <c r="D23" s="148"/>
      <c r="E23" s="148" t="s">
        <v>244</v>
      </c>
      <c r="F23" s="148" t="s">
        <v>11939</v>
      </c>
      <c r="G23" s="148" t="str">
        <f ca="1">IF(C23=$X$4,"Enter smelter details",IF(ISERROR($V23),"",OFFSET('Smelter Look-up'!$F$4,$V23-4,0)))</f>
        <v>RMI</v>
      </c>
      <c r="H23" s="204">
        <f ca="1">IF(ISERROR($V23),"",OFFSET('Smelter Look-up'!$G$4,$V23-4,0))</f>
        <v>0</v>
      </c>
      <c r="I23" s="205" t="str">
        <f ca="1">IF(ISERROR($V23),"",OFFSET('Smelter Look-up'!$H$4,$V23-4,0))</f>
        <v>Kabupaten Halmahera Selatan</v>
      </c>
      <c r="J23" s="205" t="str">
        <f ca="1">IF(ISERROR($V23),"",OFFSET('Smelter Look-up'!$I$4,$V23-4,0))</f>
        <v>Maluku Utara</v>
      </c>
      <c r="K23" s="149"/>
      <c r="L23" s="149"/>
      <c r="M23" s="149"/>
      <c r="N23" s="149"/>
      <c r="O23" s="149"/>
      <c r="P23" s="207"/>
      <c r="Q23" s="150"/>
      <c r="R23" s="148" t="str">
        <f ca="1">IF(ISERROR($V23),"",OFFSET('Smelter Look-up'!$C$4,$V23-4,0)&amp;"")</f>
        <v>PT Halmahera Persada Lygend</v>
      </c>
      <c r="S23" s="154" t="str">
        <f t="shared" ca="1" si="5"/>
        <v>ID</v>
      </c>
      <c r="T23" s="154" t="str">
        <f ca="1">IF(B23="","",IF(ISERROR(MATCH($J23,SorP!$B$1:$B$6261,0)),"",INDIRECT("'SorP'!$A$"&amp;MATCH($S23&amp;$J23,SorP!C:C,0))))</f>
        <v>ID-MU</v>
      </c>
      <c r="U23" s="167"/>
      <c r="V23" s="168">
        <f>IF(C23="",NA(),MATCH($B23&amp;$C23,'Smelter Look-up'!$J:$J,0))</f>
        <v>131</v>
      </c>
      <c r="X23" s="169">
        <f t="shared" si="6"/>
        <v>0</v>
      </c>
      <c r="AB23" s="312" t="str">
        <f t="shared" si="7"/>
        <v>Cobalt</v>
      </c>
      <c r="AC23" s="169" t="str">
        <f t="shared" si="3"/>
        <v>Cobalt</v>
      </c>
      <c r="AD23" s="169" t="str">
        <f t="shared" si="4"/>
        <v>PT Halmahera Persada Lygend</v>
      </c>
    </row>
    <row r="24" spans="1:30" s="169" customFormat="1" ht="76.5">
      <c r="A24" s="154"/>
      <c r="B24" s="302" t="s">
        <v>40</v>
      </c>
      <c r="C24" s="151" t="s">
        <v>86</v>
      </c>
      <c r="D24" s="148"/>
      <c r="E24" s="148" t="s">
        <v>87</v>
      </c>
      <c r="F24" s="148" t="s">
        <v>88</v>
      </c>
      <c r="G24" s="148" t="str">
        <f ca="1">IF(C24=$X$4,"Enter smelter details",IF(ISERROR($V24),"",OFFSET('Smelter Look-up'!$F$4,$V24-4,0)))</f>
        <v>RMI</v>
      </c>
      <c r="H24" s="204">
        <f ca="1">IF(ISERROR($V24),"",OFFSET('Smelter Look-up'!$G$4,$V24-4,0))</f>
        <v>0</v>
      </c>
      <c r="I24" s="205" t="str">
        <f ca="1">IF(ISERROR($V24),"",OFFSET('Smelter Look-up'!$H$4,$V24-4,0))</f>
        <v>Toamasina</v>
      </c>
      <c r="J24" s="205" t="str">
        <f ca="1">IF(ISERROR($V24),"",OFFSET('Smelter Look-up'!$I$4,$V24-4,0))</f>
        <v>Toamasina</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IF(B24="","",IF(ISERROR(MATCH($J24,SorP!$B$1:$B$6261,0)),"",INDIRECT("'SorP'!$A$"&amp;MATCH($S24&amp;$J24,SorP!C:C,0))))</f>
        <v>MG-A</v>
      </c>
      <c r="U24" s="167"/>
      <c r="V24" s="168">
        <f>IF(C24="",NA(),MATCH($B24&amp;$C24,'Smelter Look-up'!$J:$J,0))</f>
        <v>24</v>
      </c>
      <c r="X24" s="169">
        <f t="shared" si="6"/>
        <v>0</v>
      </c>
      <c r="AB24" s="312" t="str">
        <f t="shared" si="7"/>
        <v>Cobalt</v>
      </c>
      <c r="AC24" s="169" t="str">
        <f t="shared" si="3"/>
        <v>Cobalt</v>
      </c>
      <c r="AD24" s="169" t="str">
        <f t="shared" si="4"/>
        <v>Dynatec Madagascar Company</v>
      </c>
    </row>
    <row r="25" spans="1:30" s="169" customFormat="1" ht="51">
      <c r="A25" s="154" t="s">
        <v>117</v>
      </c>
      <c r="B25" s="302" t="s">
        <v>40</v>
      </c>
      <c r="C25" s="151" t="s">
        <v>115</v>
      </c>
      <c r="D25" s="148" t="s">
        <v>115</v>
      </c>
      <c r="E25" s="148" t="s">
        <v>116</v>
      </c>
      <c r="F25" s="148" t="s">
        <v>117</v>
      </c>
      <c r="G25" s="148" t="str">
        <f ca="1">IF(C25=$X$4,"Enter smelter details",IF(ISERROR($V25),"",OFFSET('Smelter Look-up'!$F$4,$V25-4,0)))</f>
        <v>RMI</v>
      </c>
      <c r="H25" s="204" t="s">
        <v>20425</v>
      </c>
      <c r="I25" s="205" t="s">
        <v>118</v>
      </c>
      <c r="J25" s="205" t="s">
        <v>15886</v>
      </c>
      <c r="K25" s="149" t="s">
        <v>20426</v>
      </c>
      <c r="L25" s="149" t="s">
        <v>20427</v>
      </c>
      <c r="M25" s="149"/>
      <c r="N25" s="149"/>
      <c r="O25" s="149"/>
      <c r="P25" s="207"/>
      <c r="Q25" s="150"/>
      <c r="R25" s="148" t="str">
        <f ca="1">IF(ISERROR($V25),"",OFFSET('Smelter Look-up'!$C$4,$V25-4,0)&amp;"")</f>
        <v>Glencore Nikkelverk AS</v>
      </c>
      <c r="S25" s="154" t="str">
        <f t="shared" ca="1" si="5"/>
        <v>NO</v>
      </c>
      <c r="T25" s="154" t="str">
        <f ca="1">IF(B25="","",IF(ISERROR(MATCH($J25,SorP!$B$1:$B$6261,0)),"",INDIRECT("'SorP'!$A$"&amp;MATCH($S25&amp;$J25,SorP!C:C,0))))</f>
        <v>NO-42</v>
      </c>
      <c r="U25" s="167"/>
      <c r="V25" s="168">
        <f>IF(C25="",NA(),MATCH($B25&amp;$C25,'Smelter Look-up'!$J:$J,0))</f>
        <v>44</v>
      </c>
      <c r="X25" s="169">
        <f t="shared" si="6"/>
        <v>0</v>
      </c>
      <c r="AB25" s="312" t="str">
        <f t="shared" si="7"/>
        <v>Cobalt</v>
      </c>
      <c r="AC25" s="169" t="str">
        <f t="shared" si="3"/>
        <v>Cobalt</v>
      </c>
      <c r="AD25" s="169" t="str">
        <f t="shared" si="4"/>
        <v>Glencore Nikkelverk Refinery</v>
      </c>
    </row>
    <row r="26" spans="1:30" s="169" customFormat="1" ht="102">
      <c r="A26" s="154" t="s">
        <v>20424</v>
      </c>
      <c r="B26" s="302" t="s">
        <v>18109</v>
      </c>
      <c r="C26" s="151" t="s">
        <v>296</v>
      </c>
      <c r="D26" s="148" t="s">
        <v>115</v>
      </c>
      <c r="E26" s="148" t="s">
        <v>116</v>
      </c>
      <c r="F26" s="148" t="s">
        <v>20424</v>
      </c>
      <c r="G26" s="148" t="s">
        <v>20428</v>
      </c>
      <c r="H26" s="204" t="s">
        <v>20425</v>
      </c>
      <c r="I26" s="205" t="s">
        <v>118</v>
      </c>
      <c r="J26" s="205" t="s">
        <v>15886</v>
      </c>
      <c r="K26" s="149" t="s">
        <v>20426</v>
      </c>
      <c r="L26" s="149" t="s">
        <v>20427</v>
      </c>
      <c r="M26" s="149"/>
      <c r="N26" s="149"/>
      <c r="O26" s="149"/>
      <c r="P26" s="207"/>
      <c r="Q26" s="150"/>
      <c r="R26" s="148" t="str">
        <f ca="1">IF(ISERROR($V26),"",OFFSET('Smelter Look-up'!$C$4,$V26-4,0)&amp;"")</f>
        <v/>
      </c>
      <c r="S26" s="154" t="str">
        <f t="shared" ca="1" si="5"/>
        <v>NO</v>
      </c>
      <c r="T26" s="154" t="str">
        <f ca="1">IF(B26="","",IF(ISERROR(MATCH($J26,SorP!$B$1:$B$6261,0)),"",INDIRECT("'SorP'!$A$"&amp;MATCH($S26&amp;$J26,SorP!C:C,0))))</f>
        <v>NO-42</v>
      </c>
      <c r="U26" s="167"/>
      <c r="V26" s="168">
        <f>IF(C26="",NA(),MATCH($B26&amp;$C26,'Smelter Look-up'!$J:$J,0))</f>
        <v>594</v>
      </c>
      <c r="X26" s="169">
        <f t="shared" si="6"/>
        <v>0</v>
      </c>
      <c r="AB26" s="312" t="str">
        <f t="shared" si="7"/>
        <v>Nickel</v>
      </c>
      <c r="AC26" s="169" t="str">
        <f t="shared" si="3"/>
        <v>Nickel</v>
      </c>
      <c r="AD26" s="169" t="str">
        <f t="shared" si="4"/>
        <v>Glencore Nikkelverk Refinery</v>
      </c>
    </row>
    <row r="27" spans="1:30" s="169" customFormat="1" ht="63.75">
      <c r="A27" s="154" t="s">
        <v>18358</v>
      </c>
      <c r="B27" s="302" t="s">
        <v>40</v>
      </c>
      <c r="C27" s="151" t="s">
        <v>209</v>
      </c>
      <c r="D27" s="148"/>
      <c r="E27" s="148" t="s">
        <v>210</v>
      </c>
      <c r="F27" s="148" t="s">
        <v>211</v>
      </c>
      <c r="G27" s="148" t="str">
        <f ca="1">IF(C27=$X$4,"Enter smelter details",IF(ISERROR($V27),"",OFFSET('Smelter Look-up'!$F$4,$V27-4,0)))</f>
        <v>RMI</v>
      </c>
      <c r="H27" s="204">
        <f ca="1">IF(ISERROR($V27),"",OFFSET('Smelter Look-up'!$G$4,$V27-4,0))</f>
        <v>0</v>
      </c>
      <c r="I27" s="205" t="str">
        <f ca="1">IF(ISERROR($V27),"",OFFSET('Smelter Look-up'!$H$4,$V27-4,0))</f>
        <v>Laverton</v>
      </c>
      <c r="J27" s="205" t="str">
        <f ca="1">IF(ISERROR($V27),"",OFFSET('Smelter Look-up'!$I$4,$V27-4,0))</f>
        <v>Western Australia</v>
      </c>
      <c r="K27" s="149"/>
      <c r="L27" s="149"/>
      <c r="M27" s="149"/>
      <c r="N27" s="149"/>
      <c r="O27" s="149"/>
      <c r="P27" s="207"/>
      <c r="Q27" s="150"/>
      <c r="R27" s="148" t="str">
        <f ca="1">IF(ISERROR($V27),"",OFFSET('Smelter Look-up'!$C$4,$V27-4,0)&amp;"")</f>
        <v>Murrin Murrin Nickel Cobalt Plant</v>
      </c>
      <c r="S27" s="154" t="str">
        <f t="shared" ca="1" si="5"/>
        <v>AU</v>
      </c>
      <c r="T27" s="154" t="str">
        <f ca="1">IF(B27="","",IF(ISERROR(MATCH($J27,SorP!$B$1:$B$6261,0)),"",INDIRECT("'SorP'!$A$"&amp;MATCH($S27&amp;$J27,SorP!C:C,0))))</f>
        <v>AU-WA</v>
      </c>
      <c r="U27" s="167"/>
      <c r="V27" s="168">
        <f>IF(C27="",NA(),MATCH($B27&amp;$C27,'Smelter Look-up'!$J:$J,0))</f>
        <v>113</v>
      </c>
      <c r="X27" s="169">
        <f t="shared" si="6"/>
        <v>0</v>
      </c>
      <c r="AB27" s="312" t="str">
        <f t="shared" si="7"/>
        <v>Cobalt</v>
      </c>
      <c r="AC27" s="169" t="str">
        <f t="shared" si="3"/>
        <v>Cobalt</v>
      </c>
      <c r="AD27" s="169" t="str">
        <f t="shared" si="4"/>
        <v>Murrin Murrin Nickel Cobalt Plant</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B2502</f>
        <v/>
      </c>
      <c r="AD2502" s="169" t="str">
        <f>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B2503</f>
        <v/>
      </c>
      <c r="AD2503" s="169" t="str">
        <f>IF(C2503="Smelter not listed",D2503,C2503)</f>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ca="1">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B2504</f>
        <v/>
      </c>
      <c r="AD2504" s="169" t="str">
        <f>IF(C2504="Smelter not listed",D2504,C2504)</f>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United Performance Metals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Joey Snyder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jsnyder@upmet.com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513-860-6500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Brad Butler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bbutler@upmet.com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46177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 t="shared" ref="D17:D22" si="5">IF(H17=1,"Click here to answer question 1 for specified mineral","")</f>
        <v/>
      </c>
      <c r="E17" s="16" t="s">
        <v>18</v>
      </c>
      <c r="F17" s="321">
        <f t="shared" ref="F17:F22" si="6">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 t="shared" si="5"/>
        <v/>
      </c>
      <c r="E18" s="16" t="s">
        <v>15</v>
      </c>
      <c r="F18" s="321">
        <f t="shared" si="6"/>
        <v>1</v>
      </c>
      <c r="G18" s="61">
        <f>IF(B18=0,1,0)</f>
        <v>0</v>
      </c>
      <c r="H18" s="62">
        <f>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Nickel(*)</v>
      </c>
      <c r="B19" s="78" t="str">
        <f>Declaration!D32</f>
        <v>Yes</v>
      </c>
      <c r="C19" s="78" t="str">
        <f t="shared" ca="1" si="3"/>
        <v>Complete</v>
      </c>
      <c r="D19" s="314" t="str">
        <f t="shared" si="5"/>
        <v/>
      </c>
      <c r="E19" s="16" t="s">
        <v>15</v>
      </c>
      <c r="F19" s="321">
        <f t="shared" si="6"/>
        <v>1</v>
      </c>
      <c r="G19" s="61">
        <f>IF(B19=0,1,0)</f>
        <v>0</v>
      </c>
      <c r="H19" s="62">
        <f>F19*G19</f>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5"/>
        <v/>
      </c>
      <c r="E20" s="16" t="s">
        <v>15</v>
      </c>
      <c r="F20" s="321">
        <f t="shared" si="6"/>
        <v>0</v>
      </c>
      <c r="G20" s="61">
        <f>IF(B20=0,1,0)</f>
        <v>1</v>
      </c>
      <c r="H20" s="62">
        <f>F20*G20</f>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5"/>
        <v/>
      </c>
      <c r="E21" s="16"/>
      <c r="F21" s="321">
        <f t="shared" si="6"/>
        <v>0</v>
      </c>
      <c r="G21" s="61">
        <f>IF(B21=0,1,0)</f>
        <v>1</v>
      </c>
      <c r="H21" s="62">
        <f>F21*G21</f>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5"/>
        <v/>
      </c>
      <c r="E22" s="16"/>
      <c r="F22" s="321">
        <f t="shared" si="6"/>
        <v>0</v>
      </c>
      <c r="G22" s="61">
        <f>IF(B22=0,1,0)</f>
        <v>1</v>
      </c>
      <c r="H22" s="62">
        <f>F22*G22</f>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7">IF(H28=1,J28,I28)</f>
        <v>Complete</v>
      </c>
      <c r="D28" s="314" t="str">
        <f t="shared" ref="D28:D33" si="8">IF(H28=1,"Click here to answer question 2 for specified mineral","")</f>
        <v/>
      </c>
      <c r="E28" s="16" t="s">
        <v>15</v>
      </c>
      <c r="F28" s="83">
        <f t="shared" ref="F28:F33" si="9">IF(OR(A17="",B17="No",B17="Unknown",B17="Not declaring"),0,1)</f>
        <v>1</v>
      </c>
      <c r="G28" s="61">
        <f t="shared" ref="G28:G33" si="10">IF(B28=0,1,0)</f>
        <v>0</v>
      </c>
      <c r="H28" s="62">
        <f t="shared" ref="H28:H33" si="11">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7"/>
        <v>Complete</v>
      </c>
      <c r="D29" s="314" t="str">
        <f t="shared" si="8"/>
        <v/>
      </c>
      <c r="E29" s="16" t="s">
        <v>15</v>
      </c>
      <c r="F29" s="83">
        <f t="shared" si="9"/>
        <v>1</v>
      </c>
      <c r="G29" s="61">
        <f t="shared" si="10"/>
        <v>0</v>
      </c>
      <c r="H29" s="62">
        <f t="shared" si="11"/>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7"/>
        <v>Complete</v>
      </c>
      <c r="D30" s="314" t="str">
        <f t="shared" si="8"/>
        <v/>
      </c>
      <c r="E30" s="16"/>
      <c r="F30" s="83">
        <f t="shared" si="9"/>
        <v>1</v>
      </c>
      <c r="G30" s="61">
        <f t="shared" si="10"/>
        <v>0</v>
      </c>
      <c r="H30" s="62">
        <f t="shared" si="11"/>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7"/>
        <v>Complete</v>
      </c>
      <c r="D31" s="314" t="str">
        <f t="shared" si="8"/>
        <v/>
      </c>
      <c r="E31" s="16"/>
      <c r="F31" s="83">
        <f t="shared" si="9"/>
        <v>0</v>
      </c>
      <c r="G31" s="61">
        <f t="shared" si="10"/>
        <v>1</v>
      </c>
      <c r="H31" s="62">
        <f t="shared" si="11"/>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7"/>
        <v>Complete</v>
      </c>
      <c r="D32" s="314" t="str">
        <f t="shared" si="8"/>
        <v/>
      </c>
      <c r="E32" s="16"/>
      <c r="F32" s="83">
        <f t="shared" si="9"/>
        <v>0</v>
      </c>
      <c r="G32" s="61">
        <f t="shared" si="10"/>
        <v>1</v>
      </c>
      <c r="H32" s="62">
        <f t="shared" si="11"/>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7"/>
        <v>Complete</v>
      </c>
      <c r="D33" s="314" t="str">
        <f t="shared" si="8"/>
        <v/>
      </c>
      <c r="E33" s="16"/>
      <c r="F33" s="83">
        <f t="shared" si="9"/>
        <v>0</v>
      </c>
      <c r="G33" s="61">
        <f t="shared" si="10"/>
        <v>1</v>
      </c>
      <c r="H33" s="62">
        <f t="shared" si="11"/>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7"/>
        <v>0</v>
      </c>
      <c r="D34" s="227"/>
      <c r="E34" s="16"/>
      <c r="F34" s="83"/>
      <c r="G34" s="61"/>
      <c r="H34" s="62"/>
      <c r="I34" s="130"/>
    </row>
    <row r="35" spans="1:10" ht="21.95" hidden="1" customHeight="1">
      <c r="A35" s="79" t="str">
        <f>Declaration!B49</f>
        <v/>
      </c>
      <c r="B35" s="78">
        <f>Declaration!D49</f>
        <v>0</v>
      </c>
      <c r="C35" s="135">
        <f t="shared" si="7"/>
        <v>0</v>
      </c>
      <c r="D35" s="227"/>
      <c r="E35" s="16"/>
      <c r="F35" s="83"/>
      <c r="G35" s="61"/>
      <c r="H35" s="62"/>
      <c r="I35" s="130"/>
    </row>
    <row r="36" spans="1:10" ht="21.95" hidden="1" customHeight="1">
      <c r="A36" s="79" t="str">
        <f>Declaration!B50</f>
        <v/>
      </c>
      <c r="B36" s="78">
        <f>Declaration!D50</f>
        <v>0</v>
      </c>
      <c r="C36" s="135">
        <f t="shared" si="7"/>
        <v>0</v>
      </c>
      <c r="D36" s="227"/>
      <c r="E36" s="16"/>
      <c r="F36" s="83"/>
      <c r="G36" s="61"/>
      <c r="H36" s="62"/>
      <c r="I36" s="130"/>
    </row>
    <row r="37" spans="1:10" ht="21.95" hidden="1" customHeight="1">
      <c r="A37" s="79" t="str">
        <f>Declaration!B51</f>
        <v/>
      </c>
      <c r="B37" s="78">
        <f>Declaration!D51</f>
        <v>0</v>
      </c>
      <c r="C37" s="135">
        <f t="shared" si="7"/>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 t="shared" ref="D39:D44" si="12">IF(H39=1,"Click here to answer question 3 for Specified mineral","")</f>
        <v/>
      </c>
      <c r="E39" s="16" t="s">
        <v>15</v>
      </c>
      <c r="F39" s="83">
        <f t="shared" ref="F39:F44" si="13">IF(OR(A17="",B17="No",B17="Unknown",B17="Not declaring",B28="No",B28="Unknown"),0,1)</f>
        <v>1</v>
      </c>
      <c r="G39" s="61">
        <f t="shared" ref="G39:G44" si="14">IF(B39=0,1,0)</f>
        <v>0</v>
      </c>
      <c r="H39" s="62">
        <f t="shared" ref="H39:H44"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si="12"/>
        <v/>
      </c>
      <c r="E40" s="16" t="s">
        <v>15</v>
      </c>
      <c r="F40" s="83">
        <f t="shared" si="13"/>
        <v>1</v>
      </c>
      <c r="G40" s="61">
        <f t="shared" si="14"/>
        <v>0</v>
      </c>
      <c r="H40" s="62">
        <f t="shared" si="15"/>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No</v>
      </c>
      <c r="C41" s="135" t="str">
        <f t="shared" ca="1" si="3"/>
        <v>Complete</v>
      </c>
      <c r="D41" s="316" t="str">
        <f t="shared" si="12"/>
        <v/>
      </c>
      <c r="E41" s="16"/>
      <c r="F41" s="83">
        <f t="shared" si="13"/>
        <v>1</v>
      </c>
      <c r="G41" s="61">
        <f t="shared" si="14"/>
        <v>0</v>
      </c>
      <c r="H41" s="62">
        <f t="shared" si="15"/>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2"/>
        <v/>
      </c>
      <c r="E42" s="16"/>
      <c r="F42" s="83">
        <f t="shared" si="13"/>
        <v>0</v>
      </c>
      <c r="G42" s="61">
        <f t="shared" si="14"/>
        <v>1</v>
      </c>
      <c r="H42" s="62">
        <f t="shared" si="15"/>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2"/>
        <v/>
      </c>
      <c r="E43" s="16"/>
      <c r="F43" s="83">
        <f t="shared" si="13"/>
        <v>0</v>
      </c>
      <c r="G43" s="61">
        <f t="shared" si="14"/>
        <v>1</v>
      </c>
      <c r="H43" s="62">
        <f t="shared" si="15"/>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2"/>
        <v/>
      </c>
      <c r="E44" s="16"/>
      <c r="F44" s="83">
        <f t="shared" si="13"/>
        <v>0</v>
      </c>
      <c r="G44" s="61">
        <f t="shared" si="14"/>
        <v>1</v>
      </c>
      <c r="H44" s="62">
        <f t="shared" si="15"/>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Yes</v>
      </c>
      <c r="C50" s="135" t="str">
        <f ca="1">IF(H50=1,J50,I50)</f>
        <v>Complete</v>
      </c>
      <c r="D50" s="316" t="str">
        <f t="shared" ref="D50:D55" si="16">IF(H50=1,"Click here to answer question 4 for specified mineral","")</f>
        <v/>
      </c>
      <c r="E50" s="16" t="s">
        <v>15</v>
      </c>
      <c r="F50" s="83">
        <f t="shared" ref="F50:F55" si="17">F39</f>
        <v>1</v>
      </c>
      <c r="G50" s="61">
        <f t="shared" ref="G50:G55" si="18">IF(B50=0,1,0)</f>
        <v>0</v>
      </c>
      <c r="H50" s="62">
        <f t="shared" ref="H50:H55" si="19">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si="16"/>
        <v/>
      </c>
      <c r="E51" s="16"/>
      <c r="F51" s="83">
        <f t="shared" si="17"/>
        <v>1</v>
      </c>
      <c r="G51" s="61">
        <f t="shared" si="18"/>
        <v>0</v>
      </c>
      <c r="H51" s="62">
        <f t="shared" si="19"/>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Yes</v>
      </c>
      <c r="C52" s="135" t="str">
        <f t="shared" ca="1" si="20"/>
        <v>Complete</v>
      </c>
      <c r="D52" s="316" t="str">
        <f t="shared" si="16"/>
        <v/>
      </c>
      <c r="E52" s="16"/>
      <c r="F52" s="83">
        <f t="shared" si="17"/>
        <v>1</v>
      </c>
      <c r="G52" s="61">
        <f t="shared" si="18"/>
        <v>0</v>
      </c>
      <c r="H52" s="62">
        <f t="shared" si="19"/>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16"/>
        <v/>
      </c>
      <c r="E53" s="16"/>
      <c r="F53" s="83">
        <f t="shared" si="17"/>
        <v>0</v>
      </c>
      <c r="G53" s="61">
        <f t="shared" si="18"/>
        <v>1</v>
      </c>
      <c r="H53" s="62">
        <f t="shared" si="19"/>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16"/>
        <v/>
      </c>
      <c r="E54" s="16"/>
      <c r="F54" s="83">
        <f t="shared" si="17"/>
        <v>0</v>
      </c>
      <c r="G54" s="61">
        <f t="shared" si="18"/>
        <v>1</v>
      </c>
      <c r="H54" s="62">
        <f t="shared" si="19"/>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16"/>
        <v/>
      </c>
      <c r="E55" s="16"/>
      <c r="F55" s="83">
        <f t="shared" si="17"/>
        <v>0</v>
      </c>
      <c r="G55" s="61">
        <f t="shared" si="18"/>
        <v>1</v>
      </c>
      <c r="H55" s="62">
        <f t="shared" si="19"/>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 t="shared" ref="D61:D66" si="21">IF(H61=1,"Click here to answer question 5 for specified mineral","")</f>
        <v/>
      </c>
      <c r="E61" s="16" t="s">
        <v>18</v>
      </c>
      <c r="F61" s="83">
        <f t="shared" ref="F61:F66" si="22">F50</f>
        <v>1</v>
      </c>
      <c r="G61" s="61">
        <f t="shared" ref="G61:G66" si="23">IF(B61=0,1,0)</f>
        <v>0</v>
      </c>
      <c r="H61" s="62">
        <f t="shared" ref="H61:H66" si="24">F61*G61</f>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si="21"/>
        <v/>
      </c>
      <c r="E62" s="16" t="s">
        <v>18</v>
      </c>
      <c r="F62" s="83">
        <f t="shared" si="22"/>
        <v>1</v>
      </c>
      <c r="G62" s="61">
        <f t="shared" si="23"/>
        <v>0</v>
      </c>
      <c r="H62" s="62">
        <f t="shared" si="24"/>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Greater than 50%</v>
      </c>
      <c r="C63" s="135" t="str">
        <f t="shared" ca="1" si="3"/>
        <v>Complete</v>
      </c>
      <c r="D63" s="317" t="str">
        <f t="shared" si="21"/>
        <v/>
      </c>
      <c r="E63" s="16"/>
      <c r="F63" s="83">
        <f t="shared" si="22"/>
        <v>1</v>
      </c>
      <c r="G63" s="61">
        <f t="shared" si="23"/>
        <v>0</v>
      </c>
      <c r="H63" s="62">
        <f t="shared" si="24"/>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1"/>
        <v/>
      </c>
      <c r="E64" s="16"/>
      <c r="F64" s="83">
        <f t="shared" si="22"/>
        <v>0</v>
      </c>
      <c r="G64" s="61">
        <f t="shared" si="23"/>
        <v>1</v>
      </c>
      <c r="H64" s="62">
        <f t="shared" si="24"/>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1"/>
        <v/>
      </c>
      <c r="E65" s="16"/>
      <c r="F65" s="83">
        <f t="shared" si="22"/>
        <v>0</v>
      </c>
      <c r="G65" s="61">
        <f t="shared" si="23"/>
        <v>1</v>
      </c>
      <c r="H65" s="62">
        <f t="shared" si="24"/>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1"/>
        <v/>
      </c>
      <c r="E66" s="16"/>
      <c r="F66" s="83">
        <f t="shared" si="22"/>
        <v>0</v>
      </c>
      <c r="G66" s="61">
        <f t="shared" si="23"/>
        <v>1</v>
      </c>
      <c r="H66" s="62">
        <f t="shared" si="24"/>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 t="shared" ref="D72:D77" si="25">IF(H72=1,"Click here to answer question 6 for specified mineral","")</f>
        <v/>
      </c>
      <c r="E72" s="16" t="s">
        <v>13</v>
      </c>
      <c r="F72" s="83">
        <f t="shared" ref="F72:F77" si="26">F61</f>
        <v>1</v>
      </c>
      <c r="G72" s="61">
        <f t="shared" ref="G72:G77" si="27">IF(B72=0,1,0)</f>
        <v>0</v>
      </c>
      <c r="H72" s="62">
        <f t="shared" ref="H72:H77" si="28">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29">IF(H73=1,J73,I73)</f>
        <v>Complete</v>
      </c>
      <c r="D73" s="317" t="str">
        <f t="shared" si="25"/>
        <v/>
      </c>
      <c r="E73" s="16" t="s">
        <v>13</v>
      </c>
      <c r="F73" s="83">
        <f t="shared" si="26"/>
        <v>1</v>
      </c>
      <c r="G73" s="61">
        <f t="shared" si="27"/>
        <v>0</v>
      </c>
      <c r="H73" s="62">
        <f t="shared" si="28"/>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29"/>
        <v>Complete</v>
      </c>
      <c r="D74" s="317" t="str">
        <f t="shared" si="25"/>
        <v/>
      </c>
      <c r="E74" s="16"/>
      <c r="F74" s="83">
        <f t="shared" si="26"/>
        <v>1</v>
      </c>
      <c r="G74" s="61">
        <f t="shared" si="27"/>
        <v>0</v>
      </c>
      <c r="H74" s="62">
        <f t="shared" si="28"/>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29"/>
        <v>Complete</v>
      </c>
      <c r="D75" s="317" t="str">
        <f t="shared" si="25"/>
        <v/>
      </c>
      <c r="E75" s="16"/>
      <c r="F75" s="83">
        <f t="shared" si="26"/>
        <v>0</v>
      </c>
      <c r="G75" s="61">
        <f t="shared" si="27"/>
        <v>1</v>
      </c>
      <c r="H75" s="62">
        <f t="shared" si="28"/>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29"/>
        <v>Complete</v>
      </c>
      <c r="D76" s="317" t="str">
        <f t="shared" si="25"/>
        <v/>
      </c>
      <c r="E76" s="16"/>
      <c r="F76" s="83">
        <f t="shared" si="26"/>
        <v>0</v>
      </c>
      <c r="G76" s="61">
        <f t="shared" si="27"/>
        <v>1</v>
      </c>
      <c r="H76" s="62">
        <f t="shared" si="28"/>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29"/>
        <v>Complete</v>
      </c>
      <c r="D77" s="317" t="str">
        <f t="shared" si="25"/>
        <v/>
      </c>
      <c r="E77" s="16"/>
      <c r="F77" s="83">
        <f t="shared" si="26"/>
        <v>0</v>
      </c>
      <c r="G77" s="61">
        <f t="shared" si="27"/>
        <v>1</v>
      </c>
      <c r="H77" s="62">
        <f t="shared" si="28"/>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29"/>
        <v>0</v>
      </c>
      <c r="D78" s="86"/>
      <c r="E78" s="16"/>
      <c r="F78" s="83"/>
      <c r="G78" s="61"/>
      <c r="H78" s="62"/>
      <c r="I78" s="130"/>
    </row>
    <row r="79" spans="1:10" ht="21.95" hidden="1" customHeight="1">
      <c r="A79" s="79" t="str">
        <f>Declaration!B97</f>
        <v/>
      </c>
      <c r="B79" s="78">
        <f>Declaration!D97</f>
        <v>0</v>
      </c>
      <c r="C79" s="135">
        <f t="shared" si="29"/>
        <v>0</v>
      </c>
      <c r="D79" s="86"/>
      <c r="E79" s="16"/>
      <c r="F79" s="83"/>
      <c r="G79" s="61"/>
      <c r="H79" s="62"/>
      <c r="I79" s="130"/>
    </row>
    <row r="80" spans="1:10" ht="21.95" hidden="1" customHeight="1">
      <c r="A80" s="79" t="str">
        <f>Declaration!B98</f>
        <v/>
      </c>
      <c r="B80" s="78">
        <f>Declaration!D98</f>
        <v>0</v>
      </c>
      <c r="C80" s="135">
        <f t="shared" si="29"/>
        <v>0</v>
      </c>
      <c r="D80" s="86"/>
      <c r="E80" s="16" t="s">
        <v>13</v>
      </c>
      <c r="F80" s="83"/>
      <c r="G80" s="61"/>
      <c r="H80" s="62"/>
      <c r="I80" s="130"/>
    </row>
    <row r="81" spans="1:10" ht="21.95" hidden="1" customHeight="1">
      <c r="A81" s="79" t="str">
        <f>Declaration!B99</f>
        <v/>
      </c>
      <c r="B81" s="78">
        <f>Declaration!D99</f>
        <v>0</v>
      </c>
      <c r="C81" s="135">
        <f t="shared" si="29"/>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Unknown</v>
      </c>
      <c r="C83" s="135" t="str">
        <f t="shared" ref="C83:C92" ca="1" si="30">IF(H83=1,J83,I83)</f>
        <v>Complete</v>
      </c>
      <c r="D83" s="317" t="str">
        <f t="shared" ref="D83:D88" si="31">IF(H83=1,"Click here to answer question 7 for specified mineral","")</f>
        <v/>
      </c>
      <c r="E83" s="16" t="s">
        <v>15</v>
      </c>
      <c r="F83" s="83">
        <f t="shared" ref="F83:F88" si="32">F72</f>
        <v>1</v>
      </c>
      <c r="G83" s="61">
        <f t="shared" ref="G83:G88" si="33">IF(B83=0,1,0)</f>
        <v>0</v>
      </c>
      <c r="H83" s="62">
        <f t="shared" ref="H83:H88" si="34">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Unknown</v>
      </c>
      <c r="C84" s="135" t="str">
        <f t="shared" ca="1" si="30"/>
        <v>Complete</v>
      </c>
      <c r="D84" s="317" t="str">
        <f t="shared" si="31"/>
        <v/>
      </c>
      <c r="E84" s="16" t="s">
        <v>15</v>
      </c>
      <c r="F84" s="83">
        <f t="shared" si="32"/>
        <v>1</v>
      </c>
      <c r="G84" s="61">
        <f t="shared" si="33"/>
        <v>0</v>
      </c>
      <c r="H84" s="62">
        <f t="shared" si="34"/>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Nickel(*)</v>
      </c>
      <c r="B85" s="78" t="str">
        <f>Declaration!D104</f>
        <v>Unknown</v>
      </c>
      <c r="C85" s="135" t="str">
        <f t="shared" ca="1" si="30"/>
        <v>Complete</v>
      </c>
      <c r="D85" s="317" t="str">
        <f t="shared" si="31"/>
        <v/>
      </c>
      <c r="E85" s="16"/>
      <c r="F85" s="83">
        <f t="shared" si="32"/>
        <v>1</v>
      </c>
      <c r="G85" s="61">
        <f t="shared" si="33"/>
        <v>0</v>
      </c>
      <c r="H85" s="62">
        <f t="shared" si="34"/>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0"/>
        <v>Complete</v>
      </c>
      <c r="D86" s="317" t="str">
        <f t="shared" si="31"/>
        <v/>
      </c>
      <c r="E86" s="16"/>
      <c r="F86" s="83">
        <f t="shared" si="32"/>
        <v>0</v>
      </c>
      <c r="G86" s="61">
        <f t="shared" si="33"/>
        <v>1</v>
      </c>
      <c r="H86" s="62">
        <f t="shared" si="34"/>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0"/>
        <v>Complete</v>
      </c>
      <c r="D87" s="317" t="str">
        <f t="shared" si="31"/>
        <v/>
      </c>
      <c r="E87" s="16"/>
      <c r="F87" s="83">
        <f t="shared" si="32"/>
        <v>0</v>
      </c>
      <c r="G87" s="61">
        <f t="shared" si="33"/>
        <v>1</v>
      </c>
      <c r="H87" s="62">
        <f t="shared" si="34"/>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0"/>
        <v>Complete</v>
      </c>
      <c r="D88" s="317" t="str">
        <f t="shared" si="31"/>
        <v/>
      </c>
      <c r="E88" s="16"/>
      <c r="F88" s="83">
        <f t="shared" si="32"/>
        <v>0</v>
      </c>
      <c r="G88" s="61">
        <f t="shared" si="33"/>
        <v>1</v>
      </c>
      <c r="H88" s="62">
        <f t="shared" si="34"/>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0"/>
        <v>0</v>
      </c>
      <c r="D89" s="87"/>
      <c r="E89" s="16"/>
      <c r="F89" s="83"/>
      <c r="G89" s="61"/>
      <c r="H89" s="62"/>
      <c r="I89" s="130"/>
    </row>
    <row r="90" spans="1:10" ht="21.95" hidden="1" customHeight="1">
      <c r="A90" s="79" t="str">
        <f>Declaration!B109</f>
        <v/>
      </c>
      <c r="B90" s="78">
        <f>Declaration!D109</f>
        <v>0</v>
      </c>
      <c r="C90" s="135">
        <f t="shared" si="30"/>
        <v>0</v>
      </c>
      <c r="D90" s="87"/>
      <c r="E90" s="16"/>
      <c r="F90" s="83"/>
      <c r="G90" s="61"/>
      <c r="H90" s="62"/>
      <c r="I90" s="130"/>
    </row>
    <row r="91" spans="1:10" ht="21.95" hidden="1" customHeight="1">
      <c r="A91" s="79" t="str">
        <f>Declaration!B110</f>
        <v/>
      </c>
      <c r="B91" s="78">
        <f>Declaration!D110</f>
        <v>0</v>
      </c>
      <c r="C91" s="135">
        <f t="shared" si="30"/>
        <v>0</v>
      </c>
      <c r="D91" s="87"/>
      <c r="E91" s="16" t="s">
        <v>15</v>
      </c>
      <c r="F91" s="83"/>
      <c r="G91" s="61"/>
      <c r="H91" s="62"/>
      <c r="I91" s="130"/>
    </row>
    <row r="92" spans="1:10" ht="21.95" hidden="1" customHeight="1">
      <c r="A92" s="79" t="str">
        <f>Declaration!B111</f>
        <v/>
      </c>
      <c r="B92" s="78">
        <f>Declaration!D111</f>
        <v>0</v>
      </c>
      <c r="C92" s="135">
        <f t="shared" si="30"/>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IF(B94=0,1,0)</f>
        <v>0</v>
      </c>
      <c r="H94" s="62">
        <f>F94*G94</f>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F$94</f>
        <v>1</v>
      </c>
      <c r="G95" s="61">
        <f>IF(B95=0,1,0)</f>
        <v>0</v>
      </c>
      <c r="H95" s="62">
        <f>F95*G95</f>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https://www.upmet.com/content/certifications-and-approvals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35">IF(H98=1,J98,I98)</f>
        <v>Complete</v>
      </c>
      <c r="D98" s="319" t="str">
        <f t="shared" ref="D98:D103" si="36">IF(H98=1,"Click here to answer question (C)","")</f>
        <v/>
      </c>
      <c r="E98" s="16"/>
      <c r="F98" s="83">
        <f t="shared" ref="F98:F103" si="37">F39</f>
        <v>1</v>
      </c>
      <c r="G98" s="61">
        <f t="shared" ref="G98:G103" si="38">IF(B98=0,1,0)</f>
        <v>0</v>
      </c>
      <c r="H98" s="62">
        <f t="shared" ref="H98:H103" si="39">F98*G98</f>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35"/>
        <v>Complete</v>
      </c>
      <c r="D99" s="319" t="str">
        <f t="shared" si="36"/>
        <v/>
      </c>
      <c r="E99" s="16"/>
      <c r="F99" s="83">
        <f t="shared" si="37"/>
        <v>1</v>
      </c>
      <c r="G99" s="61">
        <f t="shared" si="38"/>
        <v>0</v>
      </c>
      <c r="H99" s="62">
        <f t="shared" si="39"/>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35"/>
        <v>Complete</v>
      </c>
      <c r="D100" s="319" t="str">
        <f t="shared" si="36"/>
        <v/>
      </c>
      <c r="E100" s="16"/>
      <c r="F100" s="83">
        <f t="shared" si="37"/>
        <v>1</v>
      </c>
      <c r="G100" s="61">
        <f t="shared" si="38"/>
        <v>0</v>
      </c>
      <c r="H100" s="62">
        <f t="shared" si="39"/>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35"/>
        <v>Complete</v>
      </c>
      <c r="D101" s="319" t="str">
        <f t="shared" si="36"/>
        <v/>
      </c>
      <c r="E101" s="16"/>
      <c r="F101" s="83">
        <f t="shared" si="37"/>
        <v>0</v>
      </c>
      <c r="G101" s="61">
        <f t="shared" si="38"/>
        <v>1</v>
      </c>
      <c r="H101" s="62">
        <f t="shared" si="39"/>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35"/>
        <v>Complete</v>
      </c>
      <c r="D102" s="319" t="str">
        <f t="shared" si="36"/>
        <v/>
      </c>
      <c r="E102" s="16"/>
      <c r="F102" s="83">
        <f t="shared" si="37"/>
        <v>0</v>
      </c>
      <c r="G102" s="61">
        <f t="shared" si="38"/>
        <v>1</v>
      </c>
      <c r="H102" s="62">
        <f t="shared" si="39"/>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35"/>
        <v>Complete</v>
      </c>
      <c r="D103" s="319" t="str">
        <f t="shared" si="36"/>
        <v/>
      </c>
      <c r="E103" s="16"/>
      <c r="F103" s="83">
        <f t="shared" si="37"/>
        <v>0</v>
      </c>
      <c r="G103" s="61">
        <f t="shared" si="38"/>
        <v>1</v>
      </c>
      <c r="H103" s="62">
        <f t="shared" si="39"/>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35"/>
        <v>0</v>
      </c>
      <c r="D104" s="191"/>
      <c r="E104" s="16"/>
      <c r="F104" s="83"/>
      <c r="G104" s="61"/>
      <c r="H104" s="62"/>
      <c r="I104" s="130"/>
    </row>
    <row r="105" spans="1:10" ht="24.95" hidden="1" customHeight="1">
      <c r="A105" s="78" t="str">
        <f>Declaration!B127</f>
        <v/>
      </c>
      <c r="B105" s="78">
        <f>Declaration!D127</f>
        <v>0</v>
      </c>
      <c r="C105" s="135">
        <f t="shared" si="35"/>
        <v>0</v>
      </c>
      <c r="D105" s="191"/>
      <c r="E105" s="16"/>
      <c r="F105" s="83"/>
      <c r="G105" s="61"/>
      <c r="H105" s="62"/>
      <c r="I105" s="130"/>
    </row>
    <row r="106" spans="1:10" ht="24.95" hidden="1" customHeight="1">
      <c r="A106" s="78" t="str">
        <f>Declaration!B128</f>
        <v/>
      </c>
      <c r="B106" s="78">
        <f>Declaration!D128</f>
        <v>0</v>
      </c>
      <c r="C106" s="135">
        <f t="shared" si="35"/>
        <v>0</v>
      </c>
      <c r="D106" s="191"/>
      <c r="E106" s="16"/>
      <c r="F106" s="83"/>
      <c r="G106" s="61"/>
      <c r="H106" s="62"/>
      <c r="I106" s="130"/>
    </row>
    <row r="107" spans="1:10" ht="24.95" hidden="1" customHeight="1">
      <c r="A107" s="78" t="str">
        <f>Declaration!B129</f>
        <v/>
      </c>
      <c r="B107" s="78">
        <f>Declaration!D129</f>
        <v>0</v>
      </c>
      <c r="C107" s="135">
        <f t="shared" si="35"/>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35"/>
        <v>Complete</v>
      </c>
      <c r="D108" s="319" t="str">
        <f>IF(H108=1,"Click here to answer question (D)","")</f>
        <v/>
      </c>
      <c r="E108" s="16" t="s">
        <v>15</v>
      </c>
      <c r="F108" s="83">
        <f>F$94</f>
        <v>1</v>
      </c>
      <c r="G108" s="61">
        <f>IF(B108=0,1,0)</f>
        <v>0</v>
      </c>
      <c r="H108" s="62">
        <f>F108*G108</f>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35"/>
        <v>Complete</v>
      </c>
      <c r="D109" s="319" t="str">
        <f>IF(H109=1,"Click here to answer question (E)","")</f>
        <v/>
      </c>
      <c r="E109" s="16" t="s">
        <v>15</v>
      </c>
      <c r="F109" s="83">
        <f>F$94</f>
        <v>1</v>
      </c>
      <c r="G109" s="61">
        <f>IF(B109=0,1,0)</f>
        <v>0</v>
      </c>
      <c r="H109" s="62">
        <f>F109*G109</f>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35"/>
        <v>Complete</v>
      </c>
      <c r="D110" s="319" t="str">
        <f>IF(H110=1,"Click here to answer question (F)","")</f>
        <v/>
      </c>
      <c r="E110" s="16" t="s">
        <v>15</v>
      </c>
      <c r="F110" s="83">
        <f>F$94</f>
        <v>1</v>
      </c>
      <c r="G110" s="61">
        <f>IF(B110=0,1,0)</f>
        <v>0</v>
      </c>
      <c r="H110" s="62">
        <f>F110*G110</f>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35"/>
        <v>Complete</v>
      </c>
      <c r="D111" s="319" t="str">
        <f>IF(H111=1,"Click here to answer question (G)","")</f>
        <v/>
      </c>
      <c r="E111" s="16" t="s">
        <v>15</v>
      </c>
      <c r="F111" s="83">
        <f>F$94</f>
        <v>1</v>
      </c>
      <c r="G111" s="61">
        <f>IF(B111=0,1,0)</f>
        <v>0</v>
      </c>
      <c r="H111" s="62">
        <f>F111*G111</f>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35"/>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0">IF(H114=1,J114,I114)</f>
        <v>Complete</v>
      </c>
      <c r="D114" s="376" t="str">
        <f t="shared" ref="D114:D119" si="41">IF(H114=0,"","Click here to provide smelter information")</f>
        <v/>
      </c>
      <c r="E114" s="16" t="s">
        <v>15</v>
      </c>
      <c r="F114" s="83">
        <f t="shared" ref="F114:F119" si="42">F39</f>
        <v>1</v>
      </c>
      <c r="G114" s="61">
        <f>IF(AND(COUNTIF(SmelterIdetifiedForMetal,A114)&gt;0,COUNTIF('Smelter List'!AB$5:AB$2504,A114)&gt;0),0,1)</f>
        <v>0</v>
      </c>
      <c r="H114" s="62">
        <f t="shared" ref="H114:H119" si="43">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 t="shared" ref="K114:K119" si="44">IF(H28&gt;0,1,0)</f>
        <v>0</v>
      </c>
    </row>
    <row r="115" spans="1:12" ht="41.45" customHeight="1">
      <c r="A115" s="134" t="str">
        <f>Declaration!AA13</f>
        <v>Copper</v>
      </c>
      <c r="B115" s="78"/>
      <c r="C115" s="135" t="str">
        <f t="shared" ca="1" si="40"/>
        <v>Complete</v>
      </c>
      <c r="D115" s="376" t="str">
        <f t="shared" si="41"/>
        <v/>
      </c>
      <c r="E115" s="16"/>
      <c r="F115" s="83">
        <f t="shared" si="42"/>
        <v>1</v>
      </c>
      <c r="G115" s="61">
        <f>IF(AND(COUNTIF(SmelterIdetifiedForMetal,A115)&gt;0,COUNTIF('Smelter List'!AB$5:AB$2504,A115)&gt;0),0,1)</f>
        <v>0</v>
      </c>
      <c r="H115" s="62">
        <f t="shared" si="43"/>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si="44"/>
        <v>0</v>
      </c>
    </row>
    <row r="116" spans="1:12" ht="41.45" customHeight="1">
      <c r="A116" s="134" t="str">
        <f>Declaration!AA14</f>
        <v>Nickel</v>
      </c>
      <c r="B116" s="78"/>
      <c r="C116" s="135" t="str">
        <f t="shared" ca="1" si="40"/>
        <v>Complete</v>
      </c>
      <c r="D116" s="376" t="str">
        <f t="shared" si="41"/>
        <v/>
      </c>
      <c r="E116" s="16"/>
      <c r="F116" s="83">
        <f t="shared" si="42"/>
        <v>1</v>
      </c>
      <c r="G116" s="61">
        <f>IF(AND(COUNTIF(SmelterIdetifiedForMetal,A116)&gt;0,COUNTIF('Smelter List'!AB$5:AB$2504,A116)&gt;0),0,1)</f>
        <v>0</v>
      </c>
      <c r="H116" s="62">
        <f t="shared" si="43"/>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44"/>
        <v>0</v>
      </c>
    </row>
    <row r="117" spans="1:12" ht="41.45" customHeight="1">
      <c r="A117" s="134" t="str">
        <f>Declaration!AA15</f>
        <v/>
      </c>
      <c r="B117" s="78"/>
      <c r="C117" s="135" t="str">
        <f t="shared" ca="1" si="40"/>
        <v>Complete</v>
      </c>
      <c r="D117" s="376" t="str">
        <f t="shared" si="41"/>
        <v/>
      </c>
      <c r="E117" s="16"/>
      <c r="F117" s="83">
        <f t="shared" si="42"/>
        <v>0</v>
      </c>
      <c r="G117" s="61">
        <f>IF(AND(COUNTIF(SmelterIdetifiedForMetal,A117)&gt;0,COUNTIF('Smelter List'!AB$5:AB$2504,A117)&gt;0),0,1)</f>
        <v>0</v>
      </c>
      <c r="H117" s="62">
        <f t="shared" si="4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44"/>
        <v>0</v>
      </c>
    </row>
    <row r="118" spans="1:12" ht="41.45" customHeight="1">
      <c r="A118" s="134" t="str">
        <f>Declaration!AA16</f>
        <v/>
      </c>
      <c r="B118" s="78"/>
      <c r="C118" s="135" t="str">
        <f t="shared" ca="1" si="40"/>
        <v>Complete</v>
      </c>
      <c r="D118" s="376" t="str">
        <f t="shared" si="41"/>
        <v/>
      </c>
      <c r="E118" s="16"/>
      <c r="F118" s="83">
        <f t="shared" si="42"/>
        <v>0</v>
      </c>
      <c r="G118" s="61">
        <f>IF(AND(COUNTIF(SmelterIdetifiedForMetal,A118)&gt;0,COUNTIF('Smelter List'!AB$5:AB$2504,A118)&gt;0),0,1)</f>
        <v>0</v>
      </c>
      <c r="H118" s="62">
        <f t="shared" si="4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44"/>
        <v>0</v>
      </c>
    </row>
    <row r="119" spans="1:12" ht="41.45" customHeight="1">
      <c r="A119" s="134" t="str">
        <f>Declaration!AA17</f>
        <v/>
      </c>
      <c r="B119" s="78"/>
      <c r="C119" s="135" t="str">
        <f t="shared" ca="1" si="40"/>
        <v>Complete</v>
      </c>
      <c r="D119" s="376" t="str">
        <f t="shared" si="41"/>
        <v/>
      </c>
      <c r="E119" s="16"/>
      <c r="F119" s="83">
        <f t="shared" si="42"/>
        <v>0</v>
      </c>
      <c r="G119" s="61">
        <f>IF(AND(COUNTIF(SmelterIdetifiedForMetal,A119)&gt;0,COUNTIF('Smelter List'!AB$5:AB$2504,A119)&gt;0),0,1)</f>
        <v>0</v>
      </c>
      <c r="H119" s="62">
        <f t="shared" si="4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44"/>
        <v>0</v>
      </c>
    </row>
    <row r="120" spans="1:12" ht="24.95" hidden="1" customHeight="1">
      <c r="A120" s="134" t="str">
        <f>Declaration!AA18</f>
        <v/>
      </c>
      <c r="B120" s="78"/>
      <c r="C120" s="135">
        <f t="shared" si="40"/>
        <v>0</v>
      </c>
      <c r="D120" s="218"/>
      <c r="E120" s="16"/>
      <c r="F120" s="83"/>
      <c r="G120" s="61"/>
      <c r="H120" s="62"/>
      <c r="I120" s="130"/>
      <c r="K120" s="133"/>
    </row>
    <row r="121" spans="1:12" ht="24.95" hidden="1" customHeight="1">
      <c r="A121" s="134" t="str">
        <f>Declaration!AA19</f>
        <v/>
      </c>
      <c r="B121" s="78"/>
      <c r="C121" s="135">
        <f t="shared" si="40"/>
        <v>0</v>
      </c>
      <c r="D121" s="218"/>
      <c r="E121" s="16"/>
      <c r="F121" s="83"/>
      <c r="G121" s="61"/>
      <c r="H121" s="62"/>
      <c r="I121" s="130"/>
      <c r="K121" s="133"/>
    </row>
    <row r="122" spans="1:12" ht="24.95" hidden="1" customHeight="1">
      <c r="A122" s="134" t="str">
        <f>Declaration!AA20</f>
        <v/>
      </c>
      <c r="B122" s="78"/>
      <c r="C122" s="135">
        <f t="shared" si="40"/>
        <v>0</v>
      </c>
      <c r="D122" s="84"/>
      <c r="E122" s="16" t="s">
        <v>15</v>
      </c>
      <c r="F122" s="83"/>
      <c r="G122" s="61"/>
      <c r="H122" s="62"/>
      <c r="I122" s="130"/>
      <c r="K122" s="133"/>
    </row>
    <row r="123" spans="1:12" ht="24.95" hidden="1" customHeight="1">
      <c r="A123" s="134" t="str">
        <f>Declaration!AA21</f>
        <v/>
      </c>
      <c r="B123" s="78"/>
      <c r="C123" s="135">
        <f t="shared" si="40"/>
        <v>0</v>
      </c>
      <c r="D123" s="84"/>
      <c r="E123" s="16" t="s">
        <v>15</v>
      </c>
      <c r="F123" s="83"/>
      <c r="G123" s="61"/>
      <c r="H123" s="62"/>
      <c r="I123" s="130"/>
      <c r="K123" s="133"/>
    </row>
    <row r="124" spans="1:12" ht="24.95" customHeight="1">
      <c r="A124" s="140" t="s">
        <v>55</v>
      </c>
      <c r="B124" s="78"/>
      <c r="C124" s="140" t="str">
        <f ca="1">IF(F124=0,J124,IF(G124=0,I124,L124))</f>
        <v>Please complete columns D &amp; E on Smelter List for all rows "Smelter Not Listed" selected in column C</v>
      </c>
      <c r="D124" s="218" t="str">
        <f ca="1">IF(H124=0,"","Click here to provide smelter information")</f>
        <v>Click here to provide smelter information</v>
      </c>
      <c r="E124" s="16"/>
      <c r="F124" s="83">
        <f ca="1">IF(COUNTIF('Smelter List'!$C:$C,"Smelter Not Listed")&gt;0,1,0)</f>
        <v>1</v>
      </c>
      <c r="G124" s="61" cm="1">
        <f t="array" aca="1" ref="G124" ca="1">IF(OR(SUMPRODUCT(('Smelter List'!$C:$C="Smelter not listed")*('Smelter List'!$D:$D=""))&gt;0,SUMPRODUCT(('Smelter List'!$C:$C="Smelter not listed")*('Smelter List'!$E:$E=""))&gt;0),1,0)</f>
        <v>1</v>
      </c>
      <c r="H124" s="62">
        <f ca="1">F124*G124</f>
        <v>1</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5" t="str">
        <f ca="1">OFFSET(L!$C$1,MATCH("Mine List"&amp;ADDRESS(ROW(),COLUMN(),4),L!$A:$A,0)-1,SL,,)</f>
        <v>TO BEGIN:</v>
      </c>
      <c r="C2" s="475" t="s">
        <v>18593</v>
      </c>
      <c r="D2" s="475" t="s">
        <v>18593</v>
      </c>
      <c r="E2" s="324"/>
      <c r="F2" s="324"/>
      <c r="G2" s="325"/>
      <c r="H2" s="476"/>
      <c r="I2" s="477"/>
      <c r="J2" s="477"/>
      <c r="K2" s="477"/>
      <c r="L2" s="477"/>
      <c r="M2" s="477"/>
      <c r="N2" s="326"/>
      <c r="O2" s="326"/>
    </row>
    <row r="3" spans="1:19" s="322" customFormat="1" ht="93.95" customHeight="1" thickBot="1">
      <c r="A3" s="358"/>
      <c r="B3" s="47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18593</v>
      </c>
      <c r="D3" s="478" t="s">
        <v>18593</v>
      </c>
      <c r="E3" s="479" t="str">
        <f ca="1">OFFSET(L!$C$1,MATCH("General"&amp;"Cpy",L!$A:$A,0)-1,SL,,)</f>
        <v>© 2026 Responsible Minerals Initiative. All rights reserved.</v>
      </c>
      <c r="F3" s="479"/>
      <c r="G3" s="480"/>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A2502&amp;B2502</f>
        <v/>
      </c>
      <c r="R2502" s="339" t="b">
        <f>OR(ISBLANK(B2502),ISBLANK(C2502))</f>
        <v>1</v>
      </c>
      <c r="S2502" s="339" t="str">
        <f>IF(R2502,"",A2502&amp;"+")</f>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A2503&amp;B2503</f>
        <v/>
      </c>
      <c r="R2503" s="339" t="b">
        <f>OR(ISBLANK(B2503),ISBLANK(C2503))</f>
        <v>1</v>
      </c>
      <c r="S2503" s="339" t="str">
        <f>IF(R2503,"",A2503&amp;"+")</f>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A2504&amp;B2504</f>
        <v/>
      </c>
      <c r="R2504" s="339" t="b">
        <f>OR(ISBLANK(B2504),ISBLANK(C2504))</f>
        <v>1</v>
      </c>
      <c r="S2504" s="339" t="str">
        <f>IF(R2504,"",A2504&amp;"+")</f>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45" activePane="bottomRight" state="frozen"/>
      <selection pane="topRight" activeCell="B24" sqref="B24:J24"/>
      <selection pane="bottomLeft" activeCell="B24" sqref="B24:J24"/>
      <selection pane="bottomRight" activeCell="C62" sqref="C6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89" t="str">
        <f ca="1">OFFSET(L!$C$1,MATCH("Product List"&amp;ADDRESS(ROW(),COLUMN(),4),L!$A:$A,0)-1,SL,,)</f>
        <v>Completion required only if reporting level "Product (or List of Products)" selected on the 'Declaration' worksheet.</v>
      </c>
      <c r="B1" s="390"/>
      <c r="C1" s="390"/>
      <c r="D1" s="390"/>
      <c r="E1" s="390"/>
      <c r="F1" s="390"/>
      <c r="G1" s="106"/>
    </row>
    <row r="2" spans="1:37">
      <c r="A2" s="19"/>
      <c r="B2" s="108"/>
      <c r="C2" s="108"/>
      <c r="D2" s="108"/>
      <c r="E2" s="108"/>
      <c r="F2"/>
      <c r="G2" s="20"/>
    </row>
    <row r="3" spans="1:37">
      <c r="A3" s="19"/>
      <c r="B3" s="108"/>
      <c r="C3" s="108"/>
      <c r="D3" s="108"/>
      <c r="E3" s="108"/>
      <c r="F3" s="108"/>
      <c r="G3" s="20"/>
    </row>
    <row r="4" spans="1:37" ht="15.75" customHeight="1">
      <c r="A4" s="19"/>
      <c r="B4" s="388" t="s">
        <v>47</v>
      </c>
      <c r="C4" s="388"/>
      <c r="D4" s="388"/>
      <c r="E4" s="388"/>
      <c r="F4" s="38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20429</v>
      </c>
      <c r="C6" s="88" t="s">
        <v>20429</v>
      </c>
      <c r="D6" s="88"/>
      <c r="E6" s="88"/>
      <c r="F6" s="88" t="s">
        <v>20430</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20444</v>
      </c>
      <c r="C7" s="88" t="s">
        <v>20375</v>
      </c>
      <c r="D7" s="88"/>
      <c r="E7" s="88"/>
      <c r="F7" s="88" t="s">
        <v>20430</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20365</v>
      </c>
      <c r="C8" s="88" t="s">
        <v>20374</v>
      </c>
      <c r="D8" s="88"/>
      <c r="E8" s="88"/>
      <c r="F8" s="88" t="s">
        <v>20431</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20432</v>
      </c>
      <c r="C9" s="88" t="s">
        <v>20376</v>
      </c>
      <c r="D9" s="88"/>
      <c r="E9" s="88"/>
      <c r="F9" s="88" t="s">
        <v>20435</v>
      </c>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20433</v>
      </c>
      <c r="C10" s="88" t="s">
        <v>20377</v>
      </c>
      <c r="D10" s="88"/>
      <c r="E10" s="88"/>
      <c r="F10" s="88" t="s">
        <v>20435</v>
      </c>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20436</v>
      </c>
      <c r="C11" s="88" t="s">
        <v>20437</v>
      </c>
      <c r="D11" s="88"/>
      <c r="E11" s="88"/>
      <c r="F11" s="88" t="s">
        <v>20438</v>
      </c>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20439</v>
      </c>
      <c r="C12" s="88" t="s">
        <v>20378</v>
      </c>
      <c r="D12" s="88"/>
      <c r="E12" s="88"/>
      <c r="F12" s="88" t="s">
        <v>20434</v>
      </c>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20440</v>
      </c>
      <c r="C13" s="88" t="s">
        <v>20379</v>
      </c>
      <c r="D13" s="88"/>
      <c r="E13" s="88"/>
      <c r="F13" s="88" t="s">
        <v>20431</v>
      </c>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20441</v>
      </c>
      <c r="C14" s="88" t="s">
        <v>20380</v>
      </c>
      <c r="D14" s="88"/>
      <c r="E14" s="88"/>
      <c r="F14" s="88" t="s">
        <v>20438</v>
      </c>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20365</v>
      </c>
      <c r="C15" s="88" t="s">
        <v>20365</v>
      </c>
      <c r="D15" s="88"/>
      <c r="E15" s="88"/>
      <c r="F15" s="88" t="s">
        <v>20435</v>
      </c>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20442</v>
      </c>
      <c r="C16" s="88" t="s">
        <v>20381</v>
      </c>
      <c r="D16" s="88"/>
      <c r="E16" s="88"/>
      <c r="F16" s="88" t="s">
        <v>20435</v>
      </c>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20443</v>
      </c>
      <c r="C17" s="88" t="s">
        <v>20382</v>
      </c>
      <c r="D17" s="88"/>
      <c r="E17" s="88"/>
      <c r="F17" s="88" t="s">
        <v>20446</v>
      </c>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20445</v>
      </c>
      <c r="C18" s="88" t="s">
        <v>20383</v>
      </c>
      <c r="D18" s="88"/>
      <c r="E18" s="88"/>
      <c r="F18" s="88" t="s">
        <v>20435</v>
      </c>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20447</v>
      </c>
      <c r="C19" s="88" t="s">
        <v>20384</v>
      </c>
      <c r="D19" s="88"/>
      <c r="E19" s="88"/>
      <c r="F19" s="88" t="s">
        <v>20438</v>
      </c>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20448</v>
      </c>
      <c r="C20" s="88" t="s">
        <v>20385</v>
      </c>
      <c r="D20" s="88"/>
      <c r="E20" s="88"/>
      <c r="F20" s="88" t="s">
        <v>20435</v>
      </c>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20366</v>
      </c>
      <c r="C21" s="88" t="s">
        <v>20366</v>
      </c>
      <c r="D21" s="88"/>
      <c r="E21" s="88"/>
      <c r="F21" s="88" t="s">
        <v>20449</v>
      </c>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20367</v>
      </c>
      <c r="C22" s="88" t="s">
        <v>20450</v>
      </c>
      <c r="D22" s="88"/>
      <c r="E22" s="88"/>
      <c r="F22" s="88" t="s">
        <v>20446</v>
      </c>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20368</v>
      </c>
      <c r="C23" s="88" t="s">
        <v>20451</v>
      </c>
      <c r="D23" s="88"/>
      <c r="E23" s="88"/>
      <c r="F23" s="88" t="s">
        <v>20449</v>
      </c>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20452</v>
      </c>
      <c r="C24" s="88" t="s">
        <v>20386</v>
      </c>
      <c r="D24" s="88"/>
      <c r="E24" s="88"/>
      <c r="F24" s="88" t="s">
        <v>20435</v>
      </c>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20369</v>
      </c>
      <c r="C25" s="88" t="s">
        <v>20369</v>
      </c>
      <c r="D25" s="88"/>
      <c r="E25" s="88"/>
      <c r="F25" s="88" t="s">
        <v>20438</v>
      </c>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20370</v>
      </c>
      <c r="C26" s="88" t="s">
        <v>20370</v>
      </c>
      <c r="D26" s="88"/>
      <c r="E26" s="88"/>
      <c r="F26" s="88" t="s">
        <v>20438</v>
      </c>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20371</v>
      </c>
      <c r="C27" s="88" t="s">
        <v>20371</v>
      </c>
      <c r="D27" s="88"/>
      <c r="E27" s="88"/>
      <c r="F27" s="88" t="s">
        <v>20431</v>
      </c>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20372</v>
      </c>
      <c r="C28" s="88" t="s">
        <v>20372</v>
      </c>
      <c r="D28" s="88"/>
      <c r="E28" s="88"/>
      <c r="F28" s="88" t="s">
        <v>20431</v>
      </c>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20373</v>
      </c>
      <c r="C29" s="88" t="s">
        <v>20373</v>
      </c>
      <c r="D29" s="88"/>
      <c r="E29" s="88"/>
      <c r="F29" s="88" t="s">
        <v>20431</v>
      </c>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20387</v>
      </c>
      <c r="C30" s="88" t="s">
        <v>20387</v>
      </c>
      <c r="D30" s="88"/>
      <c r="E30" s="88"/>
      <c r="F30" s="88" t="s">
        <v>20431</v>
      </c>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20388</v>
      </c>
      <c r="C31" s="88" t="s">
        <v>20388</v>
      </c>
      <c r="D31" s="88"/>
      <c r="E31" s="88"/>
      <c r="F31" s="88" t="s">
        <v>20431</v>
      </c>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20389</v>
      </c>
      <c r="C32" s="88" t="s">
        <v>20389</v>
      </c>
      <c r="D32" s="88"/>
      <c r="E32" s="88"/>
      <c r="F32" s="88" t="s">
        <v>20431</v>
      </c>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20390</v>
      </c>
      <c r="C33" s="88" t="s">
        <v>20390</v>
      </c>
      <c r="D33" s="88"/>
      <c r="E33" s="88"/>
      <c r="F33" s="88" t="s">
        <v>20431</v>
      </c>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20391</v>
      </c>
      <c r="C34" s="88" t="s">
        <v>20391</v>
      </c>
      <c r="D34" s="88"/>
      <c r="E34" s="88"/>
      <c r="F34" s="88" t="s">
        <v>20431</v>
      </c>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20392</v>
      </c>
      <c r="C35" s="88" t="s">
        <v>20392</v>
      </c>
      <c r="D35" s="88"/>
      <c r="E35" s="88"/>
      <c r="F35" s="88" t="s">
        <v>20431</v>
      </c>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20393</v>
      </c>
      <c r="C36" s="88" t="s">
        <v>20393</v>
      </c>
      <c r="D36" s="88"/>
      <c r="E36" s="88"/>
      <c r="F36" s="88" t="s">
        <v>20431</v>
      </c>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20394</v>
      </c>
      <c r="C37" s="88" t="s">
        <v>20394</v>
      </c>
      <c r="D37" s="88"/>
      <c r="E37" s="88"/>
      <c r="F37" s="88" t="s">
        <v>20438</v>
      </c>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20395</v>
      </c>
      <c r="C38" s="88" t="s">
        <v>20395</v>
      </c>
      <c r="D38" s="88"/>
      <c r="E38" s="88"/>
      <c r="F38" s="88" t="s">
        <v>20431</v>
      </c>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20396</v>
      </c>
      <c r="C39" s="88" t="s">
        <v>20396</v>
      </c>
      <c r="D39" s="88"/>
      <c r="E39" s="88"/>
      <c r="F39" s="88" t="s">
        <v>20438</v>
      </c>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20397</v>
      </c>
      <c r="C40" s="88" t="s">
        <v>20397</v>
      </c>
      <c r="D40" s="88"/>
      <c r="E40" s="88"/>
      <c r="F40" s="88" t="s">
        <v>20431</v>
      </c>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20398</v>
      </c>
      <c r="C41" s="88" t="s">
        <v>20398</v>
      </c>
      <c r="D41" s="88"/>
      <c r="E41" s="88"/>
      <c r="F41" s="88" t="s">
        <v>20431</v>
      </c>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20399</v>
      </c>
      <c r="C42" s="88" t="s">
        <v>20399</v>
      </c>
      <c r="D42" s="88"/>
      <c r="E42" s="88"/>
      <c r="F42" s="88" t="s">
        <v>20431</v>
      </c>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20400</v>
      </c>
      <c r="C43" s="88" t="s">
        <v>20400</v>
      </c>
      <c r="D43" s="88"/>
      <c r="E43" s="88"/>
      <c r="F43" s="88" t="s">
        <v>20431</v>
      </c>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20401</v>
      </c>
      <c r="C44" s="88" t="s">
        <v>20401</v>
      </c>
      <c r="D44" s="88"/>
      <c r="E44" s="88"/>
      <c r="F44" s="88" t="s">
        <v>20453</v>
      </c>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20402</v>
      </c>
      <c r="C45" s="88" t="s">
        <v>20402</v>
      </c>
      <c r="D45" s="88"/>
      <c r="E45" s="88"/>
      <c r="F45" s="88" t="s">
        <v>20453</v>
      </c>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20403</v>
      </c>
      <c r="C46" s="88" t="s">
        <v>20403</v>
      </c>
      <c r="D46" s="88"/>
      <c r="E46" s="88"/>
      <c r="F46" s="88" t="s">
        <v>20431</v>
      </c>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20404</v>
      </c>
      <c r="C47" s="88" t="s">
        <v>20404</v>
      </c>
      <c r="D47" s="88"/>
      <c r="E47" s="88"/>
      <c r="F47" s="88" t="s">
        <v>20438</v>
      </c>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20405</v>
      </c>
      <c r="C48" s="88" t="s">
        <v>20405</v>
      </c>
      <c r="D48" s="88"/>
      <c r="E48" s="88"/>
      <c r="F48" s="88" t="s">
        <v>20438</v>
      </c>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20406</v>
      </c>
      <c r="C49" s="88" t="s">
        <v>20454</v>
      </c>
      <c r="D49" s="88"/>
      <c r="E49" s="88"/>
      <c r="F49" s="88" t="s">
        <v>20431</v>
      </c>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20407</v>
      </c>
      <c r="C50" s="88" t="s">
        <v>20455</v>
      </c>
      <c r="D50" s="88"/>
      <c r="E50" s="88"/>
      <c r="F50" s="88" t="s">
        <v>20434</v>
      </c>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20408</v>
      </c>
      <c r="C51" s="88" t="s">
        <v>20456</v>
      </c>
      <c r="D51" s="88"/>
      <c r="E51" s="88"/>
      <c r="F51" s="88" t="s">
        <v>20457</v>
      </c>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20409</v>
      </c>
      <c r="C52" s="88" t="s">
        <v>20458</v>
      </c>
      <c r="D52" s="88"/>
      <c r="E52" s="88"/>
      <c r="F52" s="88" t="s">
        <v>20434</v>
      </c>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20410</v>
      </c>
      <c r="C53" s="88" t="s">
        <v>20459</v>
      </c>
      <c r="D53" s="88"/>
      <c r="E53" s="88"/>
      <c r="F53" s="88" t="s">
        <v>20434</v>
      </c>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20411</v>
      </c>
      <c r="C54" s="88" t="s">
        <v>20411</v>
      </c>
      <c r="D54" s="88"/>
      <c r="E54" s="88"/>
      <c r="F54" s="88" t="s">
        <v>20434</v>
      </c>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20412</v>
      </c>
      <c r="C55" s="88" t="s">
        <v>20460</v>
      </c>
      <c r="D55" s="88"/>
      <c r="E55" s="88"/>
      <c r="F55" s="88" t="s">
        <v>20457</v>
      </c>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20413</v>
      </c>
      <c r="C56" s="88" t="s">
        <v>20413</v>
      </c>
      <c r="D56" s="88"/>
      <c r="E56" s="88"/>
      <c r="F56" s="88" t="s">
        <v>20457</v>
      </c>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20414</v>
      </c>
      <c r="C57" s="88" t="s">
        <v>20414</v>
      </c>
      <c r="D57" s="88"/>
      <c r="E57" s="88"/>
      <c r="F57" s="88" t="s">
        <v>20446</v>
      </c>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20415</v>
      </c>
      <c r="C58" s="88" t="s">
        <v>20461</v>
      </c>
      <c r="D58" s="88"/>
      <c r="E58" s="88"/>
      <c r="F58" s="88" t="s">
        <v>20431</v>
      </c>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20416</v>
      </c>
      <c r="C59" s="88" t="s">
        <v>20462</v>
      </c>
      <c r="D59" s="88"/>
      <c r="E59" s="88"/>
      <c r="F59" s="88" t="s">
        <v>20431</v>
      </c>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20417</v>
      </c>
      <c r="C60" s="88" t="s">
        <v>20417</v>
      </c>
      <c r="D60" s="88"/>
      <c r="E60" s="88"/>
      <c r="F60" s="88" t="s">
        <v>20430</v>
      </c>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20418</v>
      </c>
      <c r="C61" s="88" t="s">
        <v>20472</v>
      </c>
      <c r="D61" s="88"/>
      <c r="E61" s="88"/>
      <c r="F61" s="88" t="s">
        <v>20431</v>
      </c>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20419</v>
      </c>
      <c r="C62" s="88" t="s">
        <v>20470</v>
      </c>
      <c r="D62" s="88"/>
      <c r="E62" s="88"/>
      <c r="F62" s="88" t="s">
        <v>20471</v>
      </c>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20463</v>
      </c>
      <c r="C63" s="88" t="s">
        <v>20464</v>
      </c>
      <c r="D63" s="88"/>
      <c r="E63" s="88"/>
      <c r="F63" s="88" t="s">
        <v>20467</v>
      </c>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20465</v>
      </c>
      <c r="C64" s="88" t="s">
        <v>20466</v>
      </c>
      <c r="D64" s="88"/>
      <c r="E64" s="88"/>
      <c r="F64" s="88" t="s">
        <v>20467</v>
      </c>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20469</v>
      </c>
      <c r="C65" s="88" t="s">
        <v>20468</v>
      </c>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391" t="str">
        <f ca="1">OFFSET(L!$C$1,MATCH("General"&amp;"Cpy",L!$A:$A,0)-1,SL,,)</f>
        <v>© 2026 Responsible Minerals Initiative. All rights reserved.</v>
      </c>
      <c r="C1001" s="391"/>
      <c r="D1001" s="391"/>
      <c r="E1001" s="391"/>
      <c r="F1001" s="391"/>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A594&amp;B594</f>
        <v>NickelSmelter not listed</v>
      </c>
      <c r="K594" s="155" t="str">
        <f>A594&amp;B594</f>
        <v>NickelSmelter not listed</v>
      </c>
    </row>
    <row r="595" spans="1:11">
      <c r="A595" s="155" t="s">
        <v>18109</v>
      </c>
      <c r="B595" s="155" t="s">
        <v>45</v>
      </c>
      <c r="C595" s="155" t="s">
        <v>26</v>
      </c>
      <c r="D595" s="155" t="s">
        <v>26</v>
      </c>
      <c r="J595" s="155" t="str">
        <f>A595&amp;B595</f>
        <v>NickelSmelter not yet identified</v>
      </c>
      <c r="K595" s="155" t="str">
        <f>A595&amp;B595</f>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9f629b-03ec-4d44-8dbd-7325277ba91c">
      <Terms xmlns="http://schemas.microsoft.com/office/infopath/2007/PartnerControls"/>
    </lcf76f155ced4ddcb4097134ff3c332f>
    <TaxCatchAll xmlns="22d4eb00-2711-4cfc-8e52-e096a4ca650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838B4154AF3742A6FF24E3F0C48AA9" ma:contentTypeVersion="19" ma:contentTypeDescription="Create a new document." ma:contentTypeScope="" ma:versionID="3afe3bf86b40648e8770f9a42b89faa4">
  <xsd:schema xmlns:xsd="http://www.w3.org/2001/XMLSchema" xmlns:xs="http://www.w3.org/2001/XMLSchema" xmlns:p="http://schemas.microsoft.com/office/2006/metadata/properties" xmlns:ns2="e69f629b-03ec-4d44-8dbd-7325277ba91c" xmlns:ns3="22d4eb00-2711-4cfc-8e52-e096a4ca6506" targetNamespace="http://schemas.microsoft.com/office/2006/metadata/properties" ma:root="true" ma:fieldsID="63d86a23aa074c1b4515fef44481ba23" ns2:_="" ns3:_="">
    <xsd:import namespace="e69f629b-03ec-4d44-8dbd-7325277ba91c"/>
    <xsd:import namespace="22d4eb00-2711-4cfc-8e52-e096a4ca65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f629b-03ec-4d44-8dbd-7325277ba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de47d0-4b12-49c7-a760-9a0cff6c04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4eb00-2711-4cfc-8e52-e096a4ca650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be34dda-bb7b-42cb-a30a-b950751546c5}" ma:internalName="TaxCatchAll" ma:showField="CatchAllData" ma:web="22d4eb00-2711-4cfc-8e52-e096a4ca65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8551ABB-2481-4359-9886-2206F3F22C6F}"/>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Joey Snyder</cp:lastModifiedBy>
  <cp:revision/>
  <dcterms:created xsi:type="dcterms:W3CDTF">2010-06-21T21:00:23Z</dcterms:created>
  <dcterms:modified xsi:type="dcterms:W3CDTF">2026-06-05T11:34:43Z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0x01010078838B4154AF3742A6FF24E3F0C48AA9</vt:lpwstr>
  </property>
  <property fmtid="{D5CDD505-2E9C-101B-9397-08002B2CF9AE}" pid="4" name="MSIP_Label_08d383a8-4251-4fe2-b4c2-608521292248_Enabled">
    <vt:lpwstr>true</vt:lpwstr>
  </property>
  <property fmtid="{D5CDD505-2E9C-101B-9397-08002B2CF9AE}" pid="5" name="MSIP_Label_08d383a8-4251-4fe2-b4c2-608521292248_SetDate">
    <vt:lpwstr>2026-05-19T14:30:21Z</vt:lpwstr>
  </property>
  <property fmtid="{D5CDD505-2E9C-101B-9397-08002B2CF9AE}" pid="6" name="MSIP_Label_08d383a8-4251-4fe2-b4c2-608521292248_Method">
    <vt:lpwstr>Standard</vt:lpwstr>
  </property>
  <property fmtid="{D5CDD505-2E9C-101B-9397-08002B2CF9AE}" pid="7" name="MSIP_Label_08d383a8-4251-4fe2-b4c2-608521292248_Name">
    <vt:lpwstr>General</vt:lpwstr>
  </property>
  <property fmtid="{D5CDD505-2E9C-101B-9397-08002B2CF9AE}" pid="8" name="MSIP_Label_08d383a8-4251-4fe2-b4c2-608521292248_SiteId">
    <vt:lpwstr>6f8ef202-ea8e-4077-885e-b33275992806</vt:lpwstr>
  </property>
  <property fmtid="{D5CDD505-2E9C-101B-9397-08002B2CF9AE}" pid="9" name="MSIP_Label_08d383a8-4251-4fe2-b4c2-608521292248_ActionId">
    <vt:lpwstr>22eaf39e-c320-4b9b-920f-b7d4706b06ba</vt:lpwstr>
  </property>
  <property fmtid="{D5CDD505-2E9C-101B-9397-08002B2CF9AE}" pid="10" name="MSIP_Label_08d383a8-4251-4fe2-b4c2-608521292248_ContentBits">
    <vt:lpwstr>0</vt:lpwstr>
  </property>
  <property fmtid="{D5CDD505-2E9C-101B-9397-08002B2CF9AE}" pid="11" name="MSIP_Label_08d383a8-4251-4fe2-b4c2-608521292248_Tag">
    <vt:lpwstr>10, 3, 0, 1</vt:lpwstr>
  </property>
</Properties>
</file>